
<file path=[Content_Types].xml><?xml version="1.0" encoding="utf-8"?>
<Types xmlns="http://schemas.openxmlformats.org/package/2006/content-types">
  <Default Extension="vml" ContentType="application/vnd.openxmlformats-officedocument.vmlDrawing"/>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1925" tabRatio="745" activeTab="1"/>
  </bookViews>
  <sheets>
    <sheet name="77425明细 " sheetId="23" r:id="rId1"/>
    <sheet name="77770 S4 明细" sheetId="33" r:id="rId2"/>
    <sheet name="77485 S3 明细" sheetId="26" r:id="rId3"/>
    <sheet name="77425包装MA " sheetId="24" r:id="rId4"/>
    <sheet name="77485包装MA " sheetId="30" r:id="rId5"/>
    <sheet name="77770包装MA" sheetId="36" r:id="rId6"/>
    <sheet name="77349-77425半成品MA" sheetId="18" state="hidden" r:id="rId7"/>
    <sheet name="77485半成品MA" sheetId="29" r:id="rId8"/>
    <sheet name="77770半成品MA" sheetId="34" r:id="rId9"/>
    <sheet name="77485车缝MA" sheetId="32" r:id="rId10"/>
    <sheet name="77770车缝MA" sheetId="35" r:id="rId11"/>
    <sheet name="取消单" sheetId="15" r:id="rId12"/>
  </sheets>
  <externalReferences>
    <externalReference r:id="rId13"/>
    <externalReference r:id="rId14"/>
  </externalReferences>
  <definedNames>
    <definedName name="_xlnm._FilterDatabase" localSheetId="0" hidden="1">'77425明细 '!$A$1:$BJ$10</definedName>
    <definedName name="_xlnm._FilterDatabase" localSheetId="1" hidden="1">'77770 S4 明细'!$A$1:$DA$255</definedName>
    <definedName name="_xlnm._FilterDatabase" localSheetId="2" hidden="1">'77485 S3 明细'!$1:$313</definedName>
    <definedName name="_xlnm._FilterDatabase" localSheetId="4" hidden="1">'77485包装MA '!$A$2:$AM$222</definedName>
    <definedName name="_xlnm._FilterDatabase" localSheetId="5" hidden="1">'77770包装MA'!$A$2:$AH$66</definedName>
    <definedName name="_xlnm._FilterDatabase" localSheetId="9" hidden="1">'77485车缝MA'!$A$4:$AP$111</definedName>
    <definedName name="_xlnm._FilterDatabase" localSheetId="11" hidden="1">取消单!$A$1:$CS$229</definedName>
    <definedName name="_xlnm.Print_Area" localSheetId="0">'77425明细 '!$A$1:$AE$17</definedName>
    <definedName name="_xlnm.Print_Titles" localSheetId="0">'77425明细 '!$1:$1</definedName>
    <definedName name="_xlnm._FilterDatabase" localSheetId="3" hidden="1">'77425包装MA '!$A$2:$N$24</definedName>
    <definedName name="_xlnm.Print_Area" localSheetId="2">'77485 S3 明细'!$A$1:$AE$329</definedName>
    <definedName name="_xlnm.Print_Titles" localSheetId="2">'77485 S3 明细'!$1:$1</definedName>
    <definedName name="_xlnm._FilterDatabase" localSheetId="7" hidden="1">'77485半成品MA'!#REF!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Administrator</author>
  </authors>
  <commentList>
    <comment ref="AD2" authorId="0">
      <text>
        <r>
          <rPr>
            <b/>
            <sz val="12"/>
            <rFont val="宋体"/>
            <charset val="134"/>
          </rPr>
          <t>Administrator:</t>
        </r>
        <r>
          <rPr>
            <sz val="12"/>
            <rFont val="宋体"/>
            <charset val="134"/>
          </rPr>
          <t xml:space="preserve">
0000450 1/3 24pcs 华兴三B14</t>
        </r>
      </text>
    </comment>
    <comment ref="AG2" authorId="0">
      <text>
        <r>
          <rPr>
            <b/>
            <sz val="12"/>
            <rFont val="宋体"/>
            <charset val="134"/>
          </rPr>
          <t>Administrator:</t>
        </r>
        <r>
          <rPr>
            <sz val="12"/>
            <rFont val="宋体"/>
            <charset val="134"/>
          </rPr>
          <t xml:space="preserve">
12/9 上进口商贴纸 24pcs
12/6 上亚马逊客供外箱贴纸 6pcs</t>
        </r>
      </text>
    </comment>
    <comment ref="AD3" authorId="0">
      <text>
        <r>
          <rPr>
            <b/>
            <sz val="12"/>
            <rFont val="宋体"/>
            <charset val="134"/>
          </rPr>
          <t>Administrator:</t>
        </r>
        <r>
          <rPr>
            <sz val="12"/>
            <rFont val="宋体"/>
            <charset val="134"/>
          </rPr>
          <t xml:space="preserve">
0000702 1/21 60pcs A栋一楼</t>
        </r>
      </text>
    </comment>
    <comment ref="AD4" authorId="0">
      <text>
        <r>
          <rPr>
            <b/>
            <sz val="9"/>
            <rFont val="宋体"/>
            <charset val="134"/>
          </rPr>
          <t>Administrator:</t>
        </r>
        <r>
          <rPr>
            <sz val="9"/>
            <rFont val="宋体"/>
            <charset val="134"/>
          </rPr>
          <t xml:space="preserve">
0000002 3/21 548pcs 华兴三B9</t>
        </r>
      </text>
    </comment>
    <comment ref="AD5" authorId="0">
      <text>
        <r>
          <rPr>
            <b/>
            <sz val="9"/>
            <rFont val="宋体"/>
            <charset val="134"/>
          </rPr>
          <t>Administrator:</t>
        </r>
        <r>
          <rPr>
            <sz val="9"/>
            <rFont val="宋体"/>
            <charset val="134"/>
          </rPr>
          <t xml:space="preserve">
0000002 3/21 548pcs 华兴三B9</t>
        </r>
      </text>
    </comment>
    <comment ref="AG5" authorId="0">
      <text>
        <r>
          <rPr>
            <b/>
            <sz val="12"/>
            <rFont val="宋体"/>
            <charset val="134"/>
          </rPr>
          <t>Administrator:</t>
        </r>
        <r>
          <rPr>
            <sz val="12"/>
            <rFont val="宋体"/>
            <charset val="134"/>
          </rPr>
          <t xml:space="preserve">
2/27 上警告语贴纸 548pcs</t>
        </r>
      </text>
    </comment>
    <comment ref="AD6" authorId="0">
      <text>
        <r>
          <rPr>
            <b/>
            <sz val="9"/>
            <rFont val="宋体"/>
            <charset val="134"/>
          </rPr>
          <t>Administrator:</t>
        </r>
        <r>
          <rPr>
            <sz val="9"/>
            <rFont val="宋体"/>
            <charset val="134"/>
          </rPr>
          <t xml:space="preserve">
2002547 6/6 92pcs 新仓库一A9
</t>
        </r>
      </text>
    </comment>
    <comment ref="AG6" authorId="0">
      <text>
        <r>
          <rPr>
            <b/>
            <sz val="12"/>
            <rFont val="宋体"/>
            <charset val="134"/>
          </rPr>
          <t>Administrator:</t>
        </r>
        <r>
          <rPr>
            <sz val="12"/>
            <rFont val="宋体"/>
            <charset val="134"/>
          </rPr>
          <t xml:space="preserve">
5/19 上进口商贴纸 156pcs
5/26 上客供亚马逊外箱贴纸 23pcs</t>
        </r>
      </text>
    </comment>
    <comment ref="AD7" authorId="0">
      <text>
        <r>
          <rPr>
            <b/>
            <sz val="9"/>
            <rFont val="宋体"/>
            <charset val="134"/>
          </rPr>
          <t>Administrator:</t>
        </r>
        <r>
          <rPr>
            <sz val="9"/>
            <rFont val="宋体"/>
            <charset val="134"/>
          </rPr>
          <t xml:space="preserve">
2002546 6/6 64pcs 新仓库一A10</t>
        </r>
      </text>
    </comment>
    <comment ref="AG7" authorId="0">
      <text>
        <r>
          <rPr>
            <b/>
            <sz val="12"/>
            <rFont val="宋体"/>
            <charset val="134"/>
          </rPr>
          <t>Administrator:</t>
        </r>
        <r>
          <rPr>
            <sz val="12"/>
            <rFont val="宋体"/>
            <charset val="134"/>
          </rPr>
          <t xml:space="preserve">
5/19 上进口商贴纸 156pcs
5/26 上客供亚马逊外箱贴纸 16pcs
</t>
        </r>
      </text>
    </comment>
    <comment ref="AD8" authorId="0">
      <text>
        <r>
          <rPr>
            <b/>
            <sz val="12"/>
            <rFont val="宋体"/>
            <charset val="134"/>
          </rPr>
          <t>Administrator:</t>
        </r>
        <r>
          <rPr>
            <sz val="12"/>
            <rFont val="宋体"/>
            <charset val="134"/>
          </rPr>
          <t xml:space="preserve">
2001719 7/22 212pcs 华兴三B9</t>
        </r>
      </text>
    </comment>
    <comment ref="AD9" authorId="0">
      <text>
        <r>
          <rPr>
            <b/>
            <sz val="12"/>
            <rFont val="宋体"/>
            <charset val="134"/>
          </rPr>
          <t>Administrator:</t>
        </r>
        <r>
          <rPr>
            <sz val="12"/>
            <rFont val="宋体"/>
            <charset val="134"/>
          </rPr>
          <t xml:space="preserve">
2001762 8/15 100pcs 华兴三B8</t>
        </r>
      </text>
    </comment>
    <comment ref="AG9" authorId="0">
      <text>
        <r>
          <rPr>
            <b/>
            <sz val="12"/>
            <rFont val="宋体"/>
            <charset val="134"/>
          </rPr>
          <t>Administrator:</t>
        </r>
        <r>
          <rPr>
            <sz val="12"/>
            <rFont val="宋体"/>
            <charset val="134"/>
          </rPr>
          <t xml:space="preserve">
7/24 上进口商贴纸 100pcs</t>
        </r>
      </text>
    </comment>
    <comment ref="AD10" authorId="0">
      <text>
        <r>
          <rPr>
            <b/>
            <sz val="12"/>
            <rFont val="宋体"/>
            <charset val="134"/>
          </rPr>
          <t>Administrator:</t>
        </r>
        <r>
          <rPr>
            <sz val="12"/>
            <rFont val="宋体"/>
            <charset val="134"/>
          </rPr>
          <t xml:space="preserve">
2001762 8/15 96pcs 华兴三B8</t>
        </r>
      </text>
    </comment>
    <comment ref="AG10" authorId="0">
      <text>
        <r>
          <rPr>
            <b/>
            <sz val="12"/>
            <rFont val="宋体"/>
            <charset val="134"/>
          </rPr>
          <t>Administrator:</t>
        </r>
        <r>
          <rPr>
            <sz val="12"/>
            <rFont val="宋体"/>
            <charset val="134"/>
          </rPr>
          <t xml:space="preserve">
8/8 已确认过收到贴纸 101pcs</t>
        </r>
      </text>
    </comment>
  </commentList>
</comments>
</file>

<file path=xl/comments2.xml><?xml version="1.0" encoding="utf-8"?>
<comments xmlns="http://schemas.openxmlformats.org/spreadsheetml/2006/main">
  <authors>
    <author>Administrator</author>
  </authors>
  <commentList>
    <comment ref="AD7" authorId="0">
      <text>
        <r>
          <rPr>
            <b/>
            <sz val="12"/>
            <rFont val="宋体"/>
            <charset val="134"/>
          </rPr>
          <t>Administrator:</t>
        </r>
        <r>
          <rPr>
            <sz val="12"/>
            <rFont val="宋体"/>
            <charset val="134"/>
          </rPr>
          <t xml:space="preserve">
1002028 8/26 4852pcs 张泉三B6（东莞混装）
1002555 8/28 107pcs 车间补数
剩余数量东莞生产</t>
        </r>
      </text>
    </comment>
    <comment ref="AG7" authorId="0">
      <text>
        <r>
          <rPr>
            <b/>
            <sz val="12"/>
            <rFont val="宋体"/>
            <charset val="134"/>
          </rPr>
          <t>Administrator:</t>
        </r>
        <r>
          <rPr>
            <sz val="12"/>
            <rFont val="宋体"/>
            <charset val="134"/>
          </rPr>
          <t xml:space="preserve">
8/11 收到KM外箱贴纸 490pcs
8/21 收到白色防盗贴纸 6370pcs</t>
        </r>
      </text>
    </comment>
    <comment ref="AD8" authorId="0">
      <text>
        <r>
          <rPr>
            <b/>
            <sz val="12"/>
            <rFont val="宋体"/>
            <charset val="134"/>
          </rPr>
          <t>Administrator:</t>
        </r>
        <r>
          <rPr>
            <sz val="12"/>
            <rFont val="宋体"/>
            <charset val="134"/>
          </rPr>
          <t xml:space="preserve">
1002028 8/26 300pcs 张泉三B6（东莞混装）
剩余数量东莞生产</t>
        </r>
      </text>
    </comment>
    <comment ref="AG8" authorId="0">
      <text>
        <r>
          <rPr>
            <b/>
            <sz val="12"/>
            <rFont val="宋体"/>
            <charset val="134"/>
          </rPr>
          <t>Administrator:</t>
        </r>
        <r>
          <rPr>
            <sz val="12"/>
            <rFont val="宋体"/>
            <charset val="134"/>
          </rPr>
          <t xml:space="preserve">
8/11 收到KM外箱贴纸 54pcs
8/21 收到白色防盗贴纸 702pcs
</t>
        </r>
      </text>
    </comment>
    <comment ref="AD9" authorId="0">
      <text>
        <r>
          <rPr>
            <b/>
            <sz val="12"/>
            <rFont val="宋体"/>
            <charset val="134"/>
          </rPr>
          <t>Administrator:</t>
        </r>
        <r>
          <rPr>
            <sz val="12"/>
            <rFont val="宋体"/>
            <charset val="134"/>
          </rPr>
          <t xml:space="preserve">
1002228 9/6 22464pcs 莫海军B4楼C1区
1002235 9/8 11232pcs 莫海军B4楼C1区
1002233 9/8 56160pcs 莫海军B4楼C1区
1003824 9/9 18148pcs 莫海军B4楼A4区
</t>
        </r>
      </text>
    </comment>
    <comment ref="AG9" authorId="0">
      <text>
        <r>
          <rPr>
            <b/>
            <sz val="12"/>
            <rFont val="宋体"/>
            <charset val="134"/>
          </rPr>
          <t>Administrator:</t>
        </r>
        <r>
          <rPr>
            <sz val="12"/>
            <rFont val="宋体"/>
            <charset val="134"/>
          </rPr>
          <t xml:space="preserve">
8/11 上背身UPC贴纸 4154pcs
8/26 上客供外箱条码贴纸 4196pcs
7/28 上Event label贴纸 2885pcs
8/8  上Event label贴纸 1269pcs 增加数量</t>
        </r>
      </text>
    </comment>
    <comment ref="AD10" authorId="0">
      <text>
        <r>
          <rPr>
            <b/>
            <sz val="12"/>
            <rFont val="宋体"/>
            <charset val="134"/>
          </rPr>
          <t>Administrator:</t>
        </r>
        <r>
          <rPr>
            <sz val="12"/>
            <rFont val="宋体"/>
            <charset val="134"/>
          </rPr>
          <t xml:space="preserve">
1003867 9/13 1508pcs 华兴一F3</t>
        </r>
      </text>
    </comment>
    <comment ref="AG10" authorId="0">
      <text>
        <r>
          <rPr>
            <b/>
            <sz val="12"/>
            <rFont val="宋体"/>
            <charset val="134"/>
          </rPr>
          <t>Administrator:</t>
        </r>
        <r>
          <rPr>
            <sz val="12"/>
            <rFont val="宋体"/>
            <charset val="134"/>
          </rPr>
          <t xml:space="preserve">
8/21 上白色防盗贴纸 1508pcs
8/29 上KM外箱贴纸 116pcs</t>
        </r>
      </text>
    </comment>
    <comment ref="AD11" authorId="0">
      <text>
        <r>
          <rPr>
            <b/>
            <sz val="12"/>
            <rFont val="宋体"/>
            <charset val="134"/>
          </rPr>
          <t>Administrator:</t>
        </r>
        <r>
          <rPr>
            <sz val="12"/>
            <rFont val="宋体"/>
            <charset val="134"/>
          </rPr>
          <t xml:space="preserve">
1003886 9/15 3094pcs 莫海军B4楼B1区
</t>
        </r>
      </text>
    </comment>
    <comment ref="AG11" authorId="0">
      <text>
        <r>
          <rPr>
            <b/>
            <sz val="12"/>
            <rFont val="宋体"/>
            <charset val="134"/>
          </rPr>
          <t>Administrator:</t>
        </r>
        <r>
          <rPr>
            <sz val="12"/>
            <rFont val="宋体"/>
            <charset val="134"/>
          </rPr>
          <t xml:space="preserve">
8/21 上白色防盗贴纸 3094pcs
8/29 上KM外箱贴纸 238pcs
</t>
        </r>
      </text>
    </comment>
    <comment ref="AD12" authorId="0">
      <text>
        <r>
          <rPr>
            <b/>
            <sz val="12"/>
            <rFont val="宋体"/>
            <charset val="134"/>
          </rPr>
          <t>Administrator:</t>
        </r>
        <r>
          <rPr>
            <sz val="12"/>
            <rFont val="宋体"/>
            <charset val="134"/>
          </rPr>
          <t xml:space="preserve">
1003867 9/13 130pcs 华兴一F3</t>
        </r>
      </text>
    </comment>
    <comment ref="AG12" authorId="0">
      <text>
        <r>
          <rPr>
            <b/>
            <sz val="12"/>
            <rFont val="宋体"/>
            <charset val="134"/>
          </rPr>
          <t>Administrator:</t>
        </r>
        <r>
          <rPr>
            <sz val="12"/>
            <rFont val="宋体"/>
            <charset val="134"/>
          </rPr>
          <t xml:space="preserve">
8/21 上白色防盗贴纸 130pcs
8/29 上KM外箱贴纸 10pcs
</t>
        </r>
      </text>
    </comment>
    <comment ref="AD13" authorId="0">
      <text>
        <r>
          <rPr>
            <b/>
            <sz val="12"/>
            <rFont val="宋体"/>
            <charset val="134"/>
          </rPr>
          <t>Administrator:</t>
        </r>
        <r>
          <rPr>
            <sz val="12"/>
            <rFont val="宋体"/>
            <charset val="134"/>
          </rPr>
          <t xml:space="preserve">
1003886 9/15 3750pcs 莫海军B4楼A5区</t>
        </r>
      </text>
    </comment>
    <comment ref="AG13" authorId="0">
      <text>
        <r>
          <rPr>
            <b/>
            <sz val="12"/>
            <rFont val="宋体"/>
            <charset val="134"/>
          </rPr>
          <t>Administrator:</t>
        </r>
        <r>
          <rPr>
            <sz val="12"/>
            <rFont val="宋体"/>
            <charset val="134"/>
          </rPr>
          <t xml:space="preserve">
8/30 上1张日语警语贴纸 3750pcs</t>
        </r>
      </text>
    </comment>
    <comment ref="AD14" authorId="0">
      <text>
        <r>
          <rPr>
            <b/>
            <sz val="12"/>
            <rFont val="宋体"/>
            <charset val="134"/>
          </rPr>
          <t>Administrator:</t>
        </r>
        <r>
          <rPr>
            <sz val="12"/>
            <rFont val="宋体"/>
            <charset val="134"/>
          </rPr>
          <t xml:space="preserve">
1003473 9/16 1250pcs 华兴三A32</t>
        </r>
      </text>
    </comment>
    <comment ref="AG14" authorId="0">
      <text>
        <r>
          <rPr>
            <b/>
            <sz val="9"/>
            <rFont val="宋体"/>
            <charset val="134"/>
          </rPr>
          <t>Administrator:</t>
        </r>
        <r>
          <rPr>
            <sz val="9"/>
            <rFont val="宋体"/>
            <charset val="134"/>
          </rPr>
          <t xml:space="preserve">
8/19 上客人通用进口商贴纸 1250pcs</t>
        </r>
      </text>
    </comment>
    <comment ref="AD15" authorId="0">
      <text>
        <r>
          <rPr>
            <b/>
            <sz val="12"/>
            <rFont val="宋体"/>
            <charset val="134"/>
          </rPr>
          <t>Administrator:</t>
        </r>
        <r>
          <rPr>
            <sz val="12"/>
            <rFont val="宋体"/>
            <charset val="134"/>
          </rPr>
          <t xml:space="preserve">
1003481 9/16 2691pcs 莫海军B4楼B4区</t>
        </r>
      </text>
    </comment>
    <comment ref="AD16" authorId="0">
      <text>
        <r>
          <rPr>
            <b/>
            <sz val="12"/>
            <rFont val="宋体"/>
            <charset val="134"/>
          </rPr>
          <t>Administrator:</t>
        </r>
        <r>
          <rPr>
            <sz val="12"/>
            <rFont val="宋体"/>
            <charset val="134"/>
          </rPr>
          <t xml:space="preserve">
1003462 9/19 4784pcs 华兴三B17</t>
        </r>
      </text>
    </comment>
    <comment ref="AD17" authorId="0">
      <text>
        <r>
          <rPr>
            <b/>
            <sz val="12"/>
            <rFont val="宋体"/>
            <charset val="134"/>
          </rPr>
          <t>Administrator:</t>
        </r>
        <r>
          <rPr>
            <sz val="12"/>
            <rFont val="宋体"/>
            <charset val="134"/>
          </rPr>
          <t xml:space="preserve">
1003462 9/19 960pcs 华兴三B17</t>
        </r>
      </text>
    </comment>
    <comment ref="AG17" authorId="0">
      <text>
        <r>
          <rPr>
            <b/>
            <sz val="12"/>
            <rFont val="宋体"/>
            <charset val="134"/>
          </rPr>
          <t>Administrator:</t>
        </r>
        <r>
          <rPr>
            <sz val="12"/>
            <rFont val="宋体"/>
            <charset val="134"/>
          </rPr>
          <t xml:space="preserve">
9/2 上客供RFID贴纸 960pcs
9/8 上布标贴纸 960pcs</t>
        </r>
      </text>
    </comment>
    <comment ref="AD18" authorId="0">
      <text>
        <r>
          <rPr>
            <b/>
            <sz val="12"/>
            <rFont val="宋体"/>
            <charset val="134"/>
          </rPr>
          <t>Administrator:</t>
        </r>
        <r>
          <rPr>
            <sz val="12"/>
            <rFont val="宋体"/>
            <charset val="134"/>
          </rPr>
          <t xml:space="preserve">
1003462 9/19 520pcs 华兴三B17</t>
        </r>
      </text>
    </comment>
    <comment ref="AG18" authorId="0">
      <text>
        <r>
          <rPr>
            <b/>
            <sz val="12"/>
            <rFont val="宋体"/>
            <charset val="134"/>
          </rPr>
          <t>Administrator:</t>
        </r>
        <r>
          <rPr>
            <sz val="12"/>
            <rFont val="宋体"/>
            <charset val="134"/>
          </rPr>
          <t xml:space="preserve">
9/9 上进口商贴纸 520pcs</t>
        </r>
      </text>
    </comment>
    <comment ref="AD19" authorId="0">
      <text>
        <r>
          <rPr>
            <b/>
            <sz val="12"/>
            <rFont val="宋体"/>
            <charset val="134"/>
          </rPr>
          <t>Administrator:</t>
        </r>
        <r>
          <rPr>
            <sz val="12"/>
            <rFont val="宋体"/>
            <charset val="134"/>
          </rPr>
          <t xml:space="preserve">
1003462 9/19 520pcs 华兴三B17</t>
        </r>
      </text>
    </comment>
    <comment ref="AG19" authorId="0">
      <text>
        <r>
          <rPr>
            <b/>
            <sz val="12"/>
            <rFont val="宋体"/>
            <charset val="134"/>
          </rPr>
          <t>Administrator:</t>
        </r>
        <r>
          <rPr>
            <sz val="12"/>
            <rFont val="宋体"/>
            <charset val="134"/>
          </rPr>
          <t xml:space="preserve">
12/12 收到通用贴纸 520pcs-陈新亦</t>
        </r>
      </text>
    </comment>
    <comment ref="AD20" authorId="0">
      <text>
        <r>
          <rPr>
            <b/>
            <sz val="12"/>
            <rFont val="宋体"/>
            <charset val="134"/>
          </rPr>
          <t>Administrator:</t>
        </r>
        <r>
          <rPr>
            <sz val="12"/>
            <rFont val="宋体"/>
            <charset val="134"/>
          </rPr>
          <t xml:space="preserve">
10003886 9/15 390pcs A栋一楼</t>
        </r>
      </text>
    </comment>
    <comment ref="AD21" authorId="0">
      <text>
        <r>
          <rPr>
            <b/>
            <sz val="12"/>
            <rFont val="宋体"/>
            <charset val="134"/>
          </rPr>
          <t>Administrator:</t>
        </r>
        <r>
          <rPr>
            <sz val="12"/>
            <rFont val="宋体"/>
            <charset val="134"/>
          </rPr>
          <t xml:space="preserve">
10003886 9/15 1500pcs A栋一楼</t>
        </r>
      </text>
    </comment>
    <comment ref="AD22" authorId="0">
      <text>
        <r>
          <rPr>
            <b/>
            <sz val="12"/>
            <rFont val="宋体"/>
            <charset val="134"/>
          </rPr>
          <t>Administrator:</t>
        </r>
        <r>
          <rPr>
            <sz val="12"/>
            <rFont val="宋体"/>
            <charset val="134"/>
          </rPr>
          <t xml:space="preserve">
1003502 9/22 208pcs 莫海军B4楼A2区</t>
        </r>
      </text>
    </comment>
    <comment ref="AG22" authorId="0">
      <text>
        <r>
          <rPr>
            <b/>
            <sz val="12"/>
            <rFont val="宋体"/>
            <charset val="134"/>
          </rPr>
          <t>Administrator:</t>
        </r>
        <r>
          <rPr>
            <sz val="12"/>
            <rFont val="宋体"/>
            <charset val="134"/>
          </rPr>
          <t xml:space="preserve">
9/19 上UPC贴纸 208pcs</t>
        </r>
      </text>
    </comment>
    <comment ref="AD23" authorId="0">
      <text>
        <r>
          <rPr>
            <b/>
            <sz val="12"/>
            <rFont val="宋体"/>
            <charset val="134"/>
          </rPr>
          <t>Administrator:</t>
        </r>
        <r>
          <rPr>
            <sz val="12"/>
            <rFont val="宋体"/>
            <charset val="134"/>
          </rPr>
          <t xml:space="preserve">
1003502 9/22 3601pcs 莫海军B4楼B3区</t>
        </r>
      </text>
    </comment>
    <comment ref="AG23" authorId="0">
      <text>
        <r>
          <rPr>
            <b/>
            <sz val="12"/>
            <rFont val="宋体"/>
            <charset val="134"/>
          </rPr>
          <t>Administrator:</t>
        </r>
        <r>
          <rPr>
            <sz val="12"/>
            <rFont val="宋体"/>
            <charset val="134"/>
          </rPr>
          <t xml:space="preserve">
8/21 上多语折叠警语贴纸 3601pcs</t>
        </r>
      </text>
    </comment>
    <comment ref="AD24" authorId="0">
      <text>
        <r>
          <rPr>
            <b/>
            <sz val="12"/>
            <rFont val="宋体"/>
            <charset val="134"/>
          </rPr>
          <t>Administrator:</t>
        </r>
        <r>
          <rPr>
            <sz val="12"/>
            <rFont val="宋体"/>
            <charset val="134"/>
          </rPr>
          <t xml:space="preserve">
1003506 9/23 700pcs 莫海军B4楼B4区</t>
        </r>
      </text>
    </comment>
    <comment ref="AD25" authorId="0">
      <text>
        <r>
          <rPr>
            <b/>
            <sz val="12"/>
            <rFont val="宋体"/>
            <charset val="134"/>
          </rPr>
          <t>Administrator:</t>
        </r>
        <r>
          <rPr>
            <sz val="12"/>
            <rFont val="宋体"/>
            <charset val="134"/>
          </rPr>
          <t xml:space="preserve">
1003547 9/30 21975pcs 莫海军B4楼A6区
</t>
        </r>
      </text>
    </comment>
    <comment ref="AG25" authorId="0">
      <text>
        <r>
          <rPr>
            <b/>
            <sz val="12"/>
            <rFont val="宋体"/>
            <charset val="134"/>
          </rPr>
          <t>Administrator:</t>
        </r>
        <r>
          <rPr>
            <sz val="12"/>
            <rFont val="宋体"/>
            <charset val="134"/>
          </rPr>
          <t xml:space="preserve">
9/2 上Event label贴纸 2090pcs
177334/177333共用
9/5 上客供外箱条码贴纸 888pcs</t>
        </r>
      </text>
    </comment>
    <comment ref="AD26" authorId="0">
      <text>
        <r>
          <rPr>
            <b/>
            <sz val="12"/>
            <rFont val="宋体"/>
            <charset val="134"/>
          </rPr>
          <t>Administrator:</t>
        </r>
        <r>
          <rPr>
            <sz val="12"/>
            <rFont val="宋体"/>
            <charset val="134"/>
          </rPr>
          <t xml:space="preserve">
1003531 9/27 960pcs B栋四楼B1</t>
        </r>
      </text>
    </comment>
    <comment ref="AG26" authorId="0">
      <text>
        <r>
          <rPr>
            <b/>
            <sz val="12"/>
            <rFont val="宋体"/>
            <charset val="134"/>
          </rPr>
          <t>Administrator:</t>
        </r>
        <r>
          <rPr>
            <sz val="12"/>
            <rFont val="宋体"/>
            <charset val="134"/>
          </rPr>
          <t xml:space="preserve">
9/2 上客供RFID贴纸 960pcs
</t>
        </r>
      </text>
    </comment>
    <comment ref="AD27" authorId="0">
      <text>
        <r>
          <rPr>
            <b/>
            <sz val="12"/>
            <rFont val="宋体"/>
            <charset val="134"/>
          </rPr>
          <t>Administrator:</t>
        </r>
        <r>
          <rPr>
            <sz val="12"/>
            <rFont val="宋体"/>
            <charset val="134"/>
          </rPr>
          <t xml:space="preserve">
1003531 9/27 960pcs B栋四楼B1</t>
        </r>
      </text>
    </comment>
    <comment ref="AG27" authorId="0">
      <text>
        <r>
          <rPr>
            <b/>
            <sz val="12"/>
            <rFont val="宋体"/>
            <charset val="134"/>
          </rPr>
          <t>Administrator:</t>
        </r>
        <r>
          <rPr>
            <sz val="12"/>
            <rFont val="宋体"/>
            <charset val="134"/>
          </rPr>
          <t xml:space="preserve">
9/2 上客供RFID贴纸 960pcs
</t>
        </r>
      </text>
    </comment>
    <comment ref="AD28" authorId="0">
      <text>
        <r>
          <rPr>
            <b/>
            <sz val="12"/>
            <rFont val="宋体"/>
            <charset val="134"/>
          </rPr>
          <t>Administrator:</t>
        </r>
        <r>
          <rPr>
            <sz val="12"/>
            <rFont val="宋体"/>
            <charset val="134"/>
          </rPr>
          <t xml:space="preserve">
1003531 9/27 960pcs B栋四楼B1</t>
        </r>
      </text>
    </comment>
    <comment ref="AG28" authorId="0">
      <text>
        <r>
          <rPr>
            <b/>
            <sz val="12"/>
            <rFont val="宋体"/>
            <charset val="134"/>
          </rPr>
          <t>Administrator:</t>
        </r>
        <r>
          <rPr>
            <sz val="12"/>
            <rFont val="宋体"/>
            <charset val="134"/>
          </rPr>
          <t xml:space="preserve">
9/2 上客供RFID贴纸 960pcs
</t>
        </r>
      </text>
    </comment>
    <comment ref="AD29" authorId="0">
      <text>
        <r>
          <rPr>
            <b/>
            <sz val="12"/>
            <rFont val="宋体"/>
            <charset val="134"/>
          </rPr>
          <t>Administrator:</t>
        </r>
        <r>
          <rPr>
            <sz val="12"/>
            <rFont val="宋体"/>
            <charset val="134"/>
          </rPr>
          <t xml:space="preserve">
1003547 9/30 11296pcs 莫海军B4楼B10区
</t>
        </r>
      </text>
    </comment>
    <comment ref="AG29" authorId="0">
      <text>
        <r>
          <rPr>
            <b/>
            <sz val="12"/>
            <rFont val="宋体"/>
            <charset val="134"/>
          </rPr>
          <t>Administrator:</t>
        </r>
        <r>
          <rPr>
            <sz val="12"/>
            <rFont val="宋体"/>
            <charset val="134"/>
          </rPr>
          <t xml:space="preserve">
8/30 上粉色艾利贴纸 6458pcs
177088/177091/177093/177094共用
9/2 上客供RFID贴纸 11296pcs</t>
        </r>
      </text>
    </comment>
    <comment ref="AD30" authorId="0">
      <text>
        <r>
          <rPr>
            <b/>
            <sz val="12"/>
            <rFont val="宋体"/>
            <charset val="134"/>
          </rPr>
          <t>Administrator:</t>
        </r>
        <r>
          <rPr>
            <sz val="12"/>
            <rFont val="宋体"/>
            <charset val="134"/>
          </rPr>
          <t xml:space="preserve">
1003554 10/7 117pcs 莫海军B4楼B7区</t>
        </r>
      </text>
    </comment>
    <comment ref="AG30" authorId="0">
      <text>
        <r>
          <rPr>
            <b/>
            <sz val="12"/>
            <rFont val="宋体"/>
            <charset val="134"/>
          </rPr>
          <t>Administrator:</t>
        </r>
        <r>
          <rPr>
            <sz val="12"/>
            <rFont val="宋体"/>
            <charset val="134"/>
          </rPr>
          <t xml:space="preserve">
9/18 上KM外箱贴纸 9pcs</t>
        </r>
      </text>
    </comment>
    <comment ref="AD31" authorId="0">
      <text>
        <r>
          <rPr>
            <b/>
            <sz val="12"/>
            <rFont val="宋体"/>
            <charset val="134"/>
          </rPr>
          <t>Administrator:</t>
        </r>
        <r>
          <rPr>
            <sz val="12"/>
            <rFont val="宋体"/>
            <charset val="134"/>
          </rPr>
          <t xml:space="preserve">
1003554 10/7 3900pcs 莫海军B4楼B7区</t>
        </r>
      </text>
    </comment>
    <comment ref="AG31" authorId="0">
      <text>
        <r>
          <rPr>
            <b/>
            <sz val="12"/>
            <rFont val="宋体"/>
            <charset val="134"/>
          </rPr>
          <t>Administrator:</t>
        </r>
        <r>
          <rPr>
            <sz val="12"/>
            <rFont val="宋体"/>
            <charset val="134"/>
          </rPr>
          <t xml:space="preserve">
9/18 上KM外箱贴纸 300pcs</t>
        </r>
      </text>
    </comment>
    <comment ref="AD32" authorId="0">
      <text>
        <r>
          <rPr>
            <b/>
            <sz val="12"/>
            <rFont val="宋体"/>
            <charset val="134"/>
          </rPr>
          <t>Administrator:</t>
        </r>
        <r>
          <rPr>
            <sz val="12"/>
            <rFont val="宋体"/>
            <charset val="134"/>
          </rPr>
          <t xml:space="preserve">
1003556 10/7 143pcs 莫海军B4楼B7区</t>
        </r>
      </text>
    </comment>
    <comment ref="AG32" authorId="0">
      <text>
        <r>
          <rPr>
            <b/>
            <sz val="12"/>
            <rFont val="宋体"/>
            <charset val="134"/>
          </rPr>
          <t>Administrator:</t>
        </r>
        <r>
          <rPr>
            <sz val="12"/>
            <rFont val="宋体"/>
            <charset val="134"/>
          </rPr>
          <t xml:space="preserve">
9/26 上KM外箱贴纸 11pcs</t>
        </r>
      </text>
    </comment>
    <comment ref="AD33" authorId="0">
      <text>
        <r>
          <rPr>
            <b/>
            <sz val="12"/>
            <rFont val="宋体"/>
            <charset val="134"/>
          </rPr>
          <t>Administrator:</t>
        </r>
        <r>
          <rPr>
            <sz val="12"/>
            <rFont val="宋体"/>
            <charset val="134"/>
          </rPr>
          <t xml:space="preserve">
1003559 10/8 2223pcs 莫海军B4楼B9区</t>
        </r>
      </text>
    </comment>
    <comment ref="AG33" authorId="0">
      <text>
        <r>
          <rPr>
            <b/>
            <sz val="12"/>
            <rFont val="宋体"/>
            <charset val="134"/>
          </rPr>
          <t>Administrator:</t>
        </r>
        <r>
          <rPr>
            <sz val="12"/>
            <rFont val="宋体"/>
            <charset val="134"/>
          </rPr>
          <t xml:space="preserve">
9/26 上KM外箱贴纸 171pcs</t>
        </r>
      </text>
    </comment>
    <comment ref="AD34" authorId="0">
      <text>
        <r>
          <rPr>
            <b/>
            <sz val="12"/>
            <rFont val="宋体"/>
            <charset val="134"/>
          </rPr>
          <t>Administrator:</t>
        </r>
        <r>
          <rPr>
            <sz val="12"/>
            <rFont val="宋体"/>
            <charset val="134"/>
          </rPr>
          <t xml:space="preserve">
1003583 10/11 13056pcs 莫海军B4楼B4区
1003590 10/13   672pcs 莫海军B4楼B4区
</t>
        </r>
      </text>
    </comment>
    <comment ref="AG34" authorId="0">
      <text>
        <r>
          <rPr>
            <b/>
            <sz val="12"/>
            <rFont val="宋体"/>
            <charset val="134"/>
          </rPr>
          <t>Administrator:</t>
        </r>
        <r>
          <rPr>
            <sz val="12"/>
            <rFont val="宋体"/>
            <charset val="134"/>
          </rPr>
          <t xml:space="preserve">
8/30 上粉色艾利贴纸 6458pcs
177088/177091/177093/177094共用
9/2 上客供RFID贴纸 13728pcs
</t>
        </r>
      </text>
    </comment>
    <comment ref="AD35" authorId="0">
      <text>
        <r>
          <rPr>
            <b/>
            <sz val="12"/>
            <rFont val="宋体"/>
            <charset val="134"/>
          </rPr>
          <t>Administrator:</t>
        </r>
        <r>
          <rPr>
            <sz val="12"/>
            <rFont val="宋体"/>
            <charset val="134"/>
          </rPr>
          <t xml:space="preserve">
1003581 10/10 8160pcs  莫海军B4楼C5区
1003583 10/11 6208pcs  莫海军B4楼C6区
</t>
        </r>
      </text>
    </comment>
    <comment ref="AG35" authorId="0">
      <text>
        <r>
          <rPr>
            <b/>
            <sz val="12"/>
            <rFont val="宋体"/>
            <charset val="134"/>
          </rPr>
          <t>Administrator:</t>
        </r>
        <r>
          <rPr>
            <sz val="12"/>
            <rFont val="宋体"/>
            <charset val="134"/>
          </rPr>
          <t xml:space="preserve">
8/30 上粉色艾利贴纸 6458pcs
177088/177091/177093/177094共用
9/2 上客供RFID贴纸 14368pcs
</t>
        </r>
      </text>
    </comment>
    <comment ref="AD36" authorId="0">
      <text>
        <r>
          <rPr>
            <b/>
            <sz val="12"/>
            <rFont val="宋体"/>
            <charset val="134"/>
          </rPr>
          <t>Administrator:</t>
        </r>
        <r>
          <rPr>
            <sz val="12"/>
            <rFont val="宋体"/>
            <charset val="134"/>
          </rPr>
          <t xml:space="preserve">
1003581 10/10 960pcs 莫海军B4楼B9区</t>
        </r>
      </text>
    </comment>
    <comment ref="AG36" authorId="0">
      <text>
        <r>
          <rPr>
            <b/>
            <sz val="12"/>
            <rFont val="宋体"/>
            <charset val="134"/>
          </rPr>
          <t>Administrator:</t>
        </r>
        <r>
          <rPr>
            <sz val="12"/>
            <rFont val="宋体"/>
            <charset val="134"/>
          </rPr>
          <t xml:space="preserve">
9/2 上客供RFID贴纸 960pcs
</t>
        </r>
      </text>
    </comment>
    <comment ref="AD37" authorId="0">
      <text>
        <r>
          <rPr>
            <b/>
            <sz val="12"/>
            <rFont val="宋体"/>
            <charset val="134"/>
          </rPr>
          <t>Administrator:</t>
        </r>
        <r>
          <rPr>
            <sz val="12"/>
            <rFont val="宋体"/>
            <charset val="134"/>
          </rPr>
          <t xml:space="preserve">
1003591 10/13 2500pcs 华兴一F4</t>
        </r>
      </text>
    </comment>
    <comment ref="AG37" authorId="0">
      <text>
        <r>
          <rPr>
            <b/>
            <sz val="12"/>
            <rFont val="宋体"/>
            <charset val="134"/>
          </rPr>
          <t>Administrator:</t>
        </r>
        <r>
          <rPr>
            <sz val="12"/>
            <rFont val="宋体"/>
            <charset val="134"/>
          </rPr>
          <t xml:space="preserve">
9/16 上客人通用进口商贴纸 2500pcs</t>
        </r>
      </text>
    </comment>
    <comment ref="AD38" authorId="0">
      <text>
        <r>
          <rPr>
            <b/>
            <sz val="12"/>
            <rFont val="宋体"/>
            <charset val="134"/>
          </rPr>
          <t>Administrator:</t>
        </r>
        <r>
          <rPr>
            <sz val="12"/>
            <rFont val="宋体"/>
            <charset val="134"/>
          </rPr>
          <t xml:space="preserve">
1003615 10/15 22500pcs  莫海军B4楼B4区
1003618 10/16  7775pcs  莫海军B4楼B4区</t>
        </r>
      </text>
    </comment>
    <comment ref="AG38" authorId="0">
      <text>
        <r>
          <rPr>
            <b/>
            <sz val="12"/>
            <rFont val="宋体"/>
            <charset val="134"/>
          </rPr>
          <t>Administrator:</t>
        </r>
        <r>
          <rPr>
            <sz val="12"/>
            <rFont val="宋体"/>
            <charset val="134"/>
          </rPr>
          <t xml:space="preserve">
9/2 上Event label贴纸 2090pcs
177334/177333共用
9/12 上客供外箱条码贴纸 1223pcs</t>
        </r>
      </text>
    </comment>
    <comment ref="AD39" authorId="0">
      <text>
        <r>
          <rPr>
            <b/>
            <sz val="12"/>
            <rFont val="宋体"/>
            <charset val="134"/>
          </rPr>
          <t>Administrator:</t>
        </r>
        <r>
          <rPr>
            <sz val="12"/>
            <rFont val="宋体"/>
            <charset val="134"/>
          </rPr>
          <t xml:space="preserve">
1003615 10/15 14850pcs 莫海军B4楼A6区
1003605 10/14  6750pcs 莫海军B4楼A4区</t>
        </r>
      </text>
    </comment>
    <comment ref="AG39" authorId="0">
      <text>
        <r>
          <rPr>
            <b/>
            <sz val="12"/>
            <rFont val="宋体"/>
            <charset val="134"/>
          </rPr>
          <t>Administrator:</t>
        </r>
        <r>
          <rPr>
            <sz val="12"/>
            <rFont val="宋体"/>
            <charset val="134"/>
          </rPr>
          <t xml:space="preserve">
9/23 上客供外箱条码贴纸 873pcs</t>
        </r>
      </text>
    </comment>
    <comment ref="AD40" authorId="0">
      <text>
        <r>
          <rPr>
            <b/>
            <sz val="12"/>
            <rFont val="宋体"/>
            <charset val="134"/>
          </rPr>
          <t>Administrator:</t>
        </r>
        <r>
          <rPr>
            <sz val="12"/>
            <rFont val="宋体"/>
            <charset val="134"/>
          </rPr>
          <t xml:space="preserve">
1003594 10/13 169pcs 莫海军B4楼B4区</t>
        </r>
      </text>
    </comment>
    <comment ref="AG40" authorId="0">
      <text>
        <r>
          <rPr>
            <b/>
            <sz val="12"/>
            <rFont val="宋体"/>
            <charset val="134"/>
          </rPr>
          <t>Administrator:</t>
        </r>
        <r>
          <rPr>
            <sz val="12"/>
            <rFont val="宋体"/>
            <charset val="134"/>
          </rPr>
          <t xml:space="preserve">
9/26 上KM外箱贴纸 13pcs</t>
        </r>
      </text>
    </comment>
    <comment ref="AD41" authorId="0">
      <text>
        <r>
          <rPr>
            <b/>
            <sz val="12"/>
            <rFont val="宋体"/>
            <charset val="134"/>
          </rPr>
          <t>Administrator:</t>
        </r>
        <r>
          <rPr>
            <sz val="12"/>
            <rFont val="宋体"/>
            <charset val="134"/>
          </rPr>
          <t xml:space="preserve">
1003633 10/20 13500pcs A栋一楼B8区
1003632 10/20 45650pcs A栋一楼C8区</t>
        </r>
      </text>
    </comment>
    <comment ref="AG41" authorId="0">
      <text>
        <r>
          <rPr>
            <b/>
            <sz val="12"/>
            <rFont val="宋体"/>
            <charset val="134"/>
          </rPr>
          <t>Administrator:</t>
        </r>
        <r>
          <rPr>
            <sz val="12"/>
            <rFont val="宋体"/>
            <charset val="134"/>
          </rPr>
          <t xml:space="preserve">
9/23 上客供外箱条码贴纸 2390pcs</t>
        </r>
      </text>
    </comment>
    <comment ref="AD42" authorId="0">
      <text>
        <r>
          <rPr>
            <b/>
            <sz val="12"/>
            <rFont val="宋体"/>
            <charset val="134"/>
          </rPr>
          <t>Administrator:</t>
        </r>
        <r>
          <rPr>
            <sz val="12"/>
            <rFont val="宋体"/>
            <charset val="134"/>
          </rPr>
          <t xml:space="preserve">
1003594 10/13 4550pcs 莫海军B4楼B4区</t>
        </r>
      </text>
    </comment>
    <comment ref="AG42" authorId="0">
      <text>
        <r>
          <rPr>
            <b/>
            <sz val="12"/>
            <rFont val="宋体"/>
            <charset val="134"/>
          </rPr>
          <t>Administrator:</t>
        </r>
        <r>
          <rPr>
            <sz val="12"/>
            <rFont val="宋体"/>
            <charset val="134"/>
          </rPr>
          <t xml:space="preserve">
9/26 上KM外箱贴纸 350pcs</t>
        </r>
      </text>
    </comment>
    <comment ref="AD43" authorId="0">
      <text>
        <r>
          <rPr>
            <b/>
            <sz val="12"/>
            <rFont val="宋体"/>
            <charset val="134"/>
          </rPr>
          <t>Administrator:</t>
        </r>
        <r>
          <rPr>
            <sz val="12"/>
            <rFont val="宋体"/>
            <charset val="134"/>
          </rPr>
          <t xml:space="preserve">
1003650 10/23 16544pcs B4楼B9区</t>
        </r>
      </text>
    </comment>
    <comment ref="AG43" authorId="0">
      <text>
        <r>
          <rPr>
            <b/>
            <sz val="12"/>
            <rFont val="宋体"/>
            <charset val="134"/>
          </rPr>
          <t>Administrator:</t>
        </r>
        <r>
          <rPr>
            <sz val="12"/>
            <rFont val="宋体"/>
            <charset val="134"/>
          </rPr>
          <t xml:space="preserve">
8/30 上粉色艾利贴纸 6458pcs
177088/177091/177093/177094共用
9/2 上客供RFID贴纸 16544pcs
</t>
        </r>
      </text>
    </comment>
    <comment ref="AD44" authorId="0">
      <text>
        <r>
          <rPr>
            <b/>
            <sz val="12"/>
            <rFont val="宋体"/>
            <charset val="134"/>
          </rPr>
          <t>Administrator:</t>
        </r>
        <r>
          <rPr>
            <sz val="12"/>
            <rFont val="宋体"/>
            <charset val="134"/>
          </rPr>
          <t xml:space="preserve">
1003695 10/23 16640pcs B4楼C8区
1003650 10/23  3840pcs B4楼C8区</t>
        </r>
      </text>
    </comment>
    <comment ref="AG44" authorId="0">
      <text>
        <r>
          <rPr>
            <b/>
            <sz val="12"/>
            <rFont val="宋体"/>
            <charset val="134"/>
          </rPr>
          <t>Administrator:</t>
        </r>
        <r>
          <rPr>
            <sz val="12"/>
            <rFont val="宋体"/>
            <charset val="134"/>
          </rPr>
          <t xml:space="preserve">
8/30 上粉色艾利贴纸 6458pcs
177088/177091/177093/177094共用
9/2 上客供RFID贴纸 20480pcs
</t>
        </r>
      </text>
    </comment>
    <comment ref="AD45" authorId="0">
      <text>
        <r>
          <rPr>
            <b/>
            <sz val="12"/>
            <rFont val="宋体"/>
            <charset val="134"/>
          </rPr>
          <t>Administrator:</t>
        </r>
        <r>
          <rPr>
            <sz val="12"/>
            <rFont val="宋体"/>
            <charset val="134"/>
          </rPr>
          <t xml:space="preserve">
1003650 10/23 960pcs B4楼A9区</t>
        </r>
      </text>
    </comment>
    <comment ref="AG45" authorId="0">
      <text>
        <r>
          <rPr>
            <b/>
            <sz val="12"/>
            <rFont val="宋体"/>
            <charset val="134"/>
          </rPr>
          <t>Administrator:</t>
        </r>
        <r>
          <rPr>
            <sz val="12"/>
            <rFont val="宋体"/>
            <charset val="134"/>
          </rPr>
          <t xml:space="preserve">
9/2 上客供RFID贴纸 960pcs
</t>
        </r>
      </text>
    </comment>
    <comment ref="AD46" authorId="0">
      <text>
        <r>
          <rPr>
            <b/>
            <sz val="12"/>
            <rFont val="宋体"/>
            <charset val="134"/>
          </rPr>
          <t>Administrator:</t>
        </r>
        <r>
          <rPr>
            <sz val="12"/>
            <rFont val="宋体"/>
            <charset val="134"/>
          </rPr>
          <t xml:space="preserve">
1003650 10/23 960pcs B4楼A9区</t>
        </r>
      </text>
    </comment>
    <comment ref="AG46" authorId="0">
      <text>
        <r>
          <rPr>
            <b/>
            <sz val="12"/>
            <rFont val="宋体"/>
            <charset val="134"/>
          </rPr>
          <t>Administrator:</t>
        </r>
        <r>
          <rPr>
            <sz val="12"/>
            <rFont val="宋体"/>
            <charset val="134"/>
          </rPr>
          <t xml:space="preserve">
9/2 上客供RFID贴纸 960pcs
</t>
        </r>
      </text>
    </comment>
    <comment ref="AD47" authorId="0">
      <text>
        <r>
          <rPr>
            <b/>
            <sz val="12"/>
            <rFont val="宋体"/>
            <charset val="134"/>
          </rPr>
          <t>Administrator:</t>
        </r>
        <r>
          <rPr>
            <sz val="12"/>
            <rFont val="宋体"/>
            <charset val="134"/>
          </rPr>
          <t xml:space="preserve">
1003662 10/27 364pcs B4楼A9区</t>
        </r>
      </text>
    </comment>
    <comment ref="AG47" authorId="0">
      <text>
        <r>
          <rPr>
            <b/>
            <sz val="12"/>
            <rFont val="宋体"/>
            <charset val="134"/>
          </rPr>
          <t>Administrator:</t>
        </r>
        <r>
          <rPr>
            <sz val="12"/>
            <rFont val="宋体"/>
            <charset val="134"/>
          </rPr>
          <t xml:space="preserve">
10/13 上警语帖纸 364pcs</t>
        </r>
      </text>
    </comment>
    <comment ref="AD48" authorId="0">
      <text>
        <r>
          <rPr>
            <b/>
            <sz val="12"/>
            <rFont val="宋体"/>
            <charset val="134"/>
          </rPr>
          <t>Administrator:</t>
        </r>
        <r>
          <rPr>
            <sz val="12"/>
            <rFont val="宋体"/>
            <charset val="134"/>
          </rPr>
          <t xml:space="preserve">
1003700 10/25 78pcs B4楼C8区</t>
        </r>
      </text>
    </comment>
    <comment ref="AG48" authorId="0">
      <text>
        <r>
          <rPr>
            <b/>
            <sz val="12"/>
            <rFont val="宋体"/>
            <charset val="134"/>
          </rPr>
          <t>Administrator:</t>
        </r>
        <r>
          <rPr>
            <sz val="12"/>
            <rFont val="宋体"/>
            <charset val="134"/>
          </rPr>
          <t xml:space="preserve">
10/8 上白色防盗贴纸 78pcs
10/13 上KM外箱贴纸 6pcs</t>
        </r>
      </text>
    </comment>
    <comment ref="AD49" authorId="0">
      <text>
        <r>
          <rPr>
            <b/>
            <sz val="12"/>
            <rFont val="宋体"/>
            <charset val="134"/>
          </rPr>
          <t>Administrator:</t>
        </r>
        <r>
          <rPr>
            <sz val="12"/>
            <rFont val="宋体"/>
            <charset val="134"/>
          </rPr>
          <t xml:space="preserve">
1003700 10/25 1482pcs B4楼C8区</t>
        </r>
      </text>
    </comment>
    <comment ref="AG49" authorId="0">
      <text>
        <r>
          <rPr>
            <b/>
            <sz val="12"/>
            <rFont val="宋体"/>
            <charset val="134"/>
          </rPr>
          <t>Administrator:</t>
        </r>
        <r>
          <rPr>
            <sz val="12"/>
            <rFont val="宋体"/>
            <charset val="134"/>
          </rPr>
          <t xml:space="preserve">
10/8 上白色防盗贴纸 1482pcs
10/13 上KM外箱贴纸 114pcs(供应商做错）
10/21 上KM外箱贴纸 114pcs</t>
        </r>
      </text>
    </comment>
    <comment ref="AD50" authorId="0">
      <text>
        <r>
          <rPr>
            <b/>
            <sz val="12"/>
            <rFont val="宋体"/>
            <charset val="134"/>
          </rPr>
          <t>Administrator:</t>
        </r>
        <r>
          <rPr>
            <sz val="12"/>
            <rFont val="宋体"/>
            <charset val="134"/>
          </rPr>
          <t xml:space="preserve">
1003655 10/25 7776pcs B4楼C8区
1003662 10/27 5760pcs B4楼C8区</t>
        </r>
      </text>
    </comment>
    <comment ref="AG50" authorId="0">
      <text>
        <r>
          <rPr>
            <b/>
            <sz val="12"/>
            <rFont val="宋体"/>
            <charset val="134"/>
          </rPr>
          <t>Administrator:</t>
        </r>
        <r>
          <rPr>
            <sz val="12"/>
            <rFont val="宋体"/>
            <charset val="134"/>
          </rPr>
          <t xml:space="preserve">
8/30 上粉色艾利贴纸 6458pcs
177088/177091/177093/177094共用
9/2 上客供RFID贴纸 13536pcs
</t>
        </r>
      </text>
    </comment>
    <comment ref="AD51" authorId="0">
      <text>
        <r>
          <rPr>
            <b/>
            <sz val="12"/>
            <rFont val="宋体"/>
            <charset val="134"/>
          </rPr>
          <t>Administrator:</t>
        </r>
        <r>
          <rPr>
            <sz val="12"/>
            <rFont val="宋体"/>
            <charset val="134"/>
          </rPr>
          <t xml:space="preserve">
1003662 10/27 13376pcs B4楼C10区</t>
        </r>
      </text>
    </comment>
    <comment ref="AG51" authorId="0">
      <text>
        <r>
          <rPr>
            <b/>
            <sz val="12"/>
            <rFont val="宋体"/>
            <charset val="134"/>
          </rPr>
          <t>Administrator:</t>
        </r>
        <r>
          <rPr>
            <sz val="12"/>
            <rFont val="宋体"/>
            <charset val="134"/>
          </rPr>
          <t xml:space="preserve">
8/30 上粉色艾利贴纸 6458pcs
177088/177091/177093/177094共用
9/2 上客供RFID贴纸 13376pcs
</t>
        </r>
      </text>
    </comment>
    <comment ref="AD52" authorId="0">
      <text>
        <r>
          <rPr>
            <b/>
            <sz val="12"/>
            <rFont val="宋体"/>
            <charset val="134"/>
          </rPr>
          <t>Administrator:</t>
        </r>
        <r>
          <rPr>
            <sz val="12"/>
            <rFont val="宋体"/>
            <charset val="134"/>
          </rPr>
          <t xml:space="preserve">
1003662 10/27 960pcs B4楼A8区</t>
        </r>
      </text>
    </comment>
    <comment ref="AG52" authorId="0">
      <text>
        <r>
          <rPr>
            <b/>
            <sz val="12"/>
            <rFont val="宋体"/>
            <charset val="134"/>
          </rPr>
          <t>Administrator:</t>
        </r>
        <r>
          <rPr>
            <sz val="12"/>
            <rFont val="宋体"/>
            <charset val="134"/>
          </rPr>
          <t xml:space="preserve">
9/8 上客供RFID贴纸 960pcs</t>
        </r>
      </text>
    </comment>
    <comment ref="AD53" authorId="0">
      <text>
        <r>
          <rPr>
            <b/>
            <sz val="12"/>
            <rFont val="宋体"/>
            <charset val="134"/>
          </rPr>
          <t>Administrator:</t>
        </r>
        <r>
          <rPr>
            <sz val="12"/>
            <rFont val="宋体"/>
            <charset val="134"/>
          </rPr>
          <t xml:space="preserve">
1003684 10/31 1000pcs B4楼B8区</t>
        </r>
      </text>
    </comment>
    <comment ref="AG53" authorId="0">
      <text>
        <r>
          <rPr>
            <b/>
            <sz val="12"/>
            <rFont val="宋体"/>
            <charset val="134"/>
          </rPr>
          <t>Administrator:</t>
        </r>
        <r>
          <rPr>
            <sz val="12"/>
            <rFont val="宋体"/>
            <charset val="134"/>
          </rPr>
          <t xml:space="preserve">
9/29 上进口商贴纸 1000pcs
10/30 上EAN条码贴纸 1000pcs
生产做错1L，跟客人沟通用1L+贴纸</t>
        </r>
      </text>
    </comment>
    <comment ref="AD54" authorId="0">
      <text>
        <r>
          <rPr>
            <b/>
            <sz val="12"/>
            <rFont val="宋体"/>
            <charset val="134"/>
          </rPr>
          <t>Administrator:</t>
        </r>
        <r>
          <rPr>
            <sz val="12"/>
            <rFont val="宋体"/>
            <charset val="134"/>
          </rPr>
          <t xml:space="preserve">
1002608 10/30 29750pcs B4楼B10区</t>
        </r>
      </text>
    </comment>
    <comment ref="AG54" authorId="0">
      <text>
        <r>
          <rPr>
            <b/>
            <sz val="12"/>
            <rFont val="宋体"/>
            <charset val="134"/>
          </rPr>
          <t>Administrator:</t>
        </r>
        <r>
          <rPr>
            <sz val="12"/>
            <rFont val="宋体"/>
            <charset val="134"/>
          </rPr>
          <t xml:space="preserve">
9/23 上客供外箱条码贴纸 1202pcs</t>
        </r>
      </text>
    </comment>
    <comment ref="AD55" authorId="0">
      <text>
        <r>
          <rPr>
            <b/>
            <sz val="12"/>
            <rFont val="宋体"/>
            <charset val="134"/>
          </rPr>
          <t>Administrator:</t>
        </r>
        <r>
          <rPr>
            <sz val="12"/>
            <rFont val="宋体"/>
            <charset val="134"/>
          </rPr>
          <t xml:space="preserve">
1003684 10/31 12600pcs B4楼B8区</t>
        </r>
      </text>
    </comment>
    <comment ref="AG55" authorId="0">
      <text>
        <r>
          <rPr>
            <b/>
            <sz val="12"/>
            <rFont val="宋体"/>
            <charset val="134"/>
          </rPr>
          <t>Administrator:</t>
        </r>
        <r>
          <rPr>
            <sz val="12"/>
            <rFont val="宋体"/>
            <charset val="134"/>
          </rPr>
          <t xml:space="preserve">
10/8 上客供外箱条码贴纸 509pcs</t>
        </r>
      </text>
    </comment>
    <comment ref="AD56" authorId="0">
      <text>
        <r>
          <rPr>
            <b/>
            <sz val="12"/>
            <rFont val="宋体"/>
            <charset val="134"/>
          </rPr>
          <t>Administrator:</t>
        </r>
        <r>
          <rPr>
            <sz val="12"/>
            <rFont val="宋体"/>
            <charset val="134"/>
          </rPr>
          <t xml:space="preserve">
1003684 10/31 1638pcs B4楼B8区</t>
        </r>
      </text>
    </comment>
    <comment ref="AG56" authorId="0">
      <text>
        <r>
          <rPr>
            <b/>
            <sz val="12"/>
            <rFont val="宋体"/>
            <charset val="134"/>
          </rPr>
          <t>Administrator:</t>
        </r>
        <r>
          <rPr>
            <sz val="12"/>
            <rFont val="宋体"/>
            <charset val="134"/>
          </rPr>
          <t xml:space="preserve">
10/8 上白色防盗贴纸 1638pcs
10/15 上KM外箱贴纸 126pcs</t>
        </r>
      </text>
    </comment>
    <comment ref="AD57" authorId="0">
      <text>
        <r>
          <rPr>
            <b/>
            <sz val="12"/>
            <rFont val="宋体"/>
            <charset val="134"/>
          </rPr>
          <t>Administrator:</t>
        </r>
        <r>
          <rPr>
            <sz val="12"/>
            <rFont val="宋体"/>
            <charset val="134"/>
          </rPr>
          <t xml:space="preserve">
1003684 10/31 130pcs B4楼B区</t>
        </r>
      </text>
    </comment>
    <comment ref="AG57" authorId="0">
      <text>
        <r>
          <rPr>
            <b/>
            <sz val="12"/>
            <rFont val="宋体"/>
            <charset val="134"/>
          </rPr>
          <t>Administrator:</t>
        </r>
        <r>
          <rPr>
            <sz val="12"/>
            <rFont val="宋体"/>
            <charset val="134"/>
          </rPr>
          <t xml:space="preserve">
10/8 上白色防盗贴纸 130pcs
10/15 上KM外箱贴纸 10pcs</t>
        </r>
      </text>
    </comment>
    <comment ref="AD58" authorId="0">
      <text>
        <r>
          <rPr>
            <b/>
            <sz val="12"/>
            <rFont val="宋体"/>
            <charset val="134"/>
          </rPr>
          <t>Administrator:</t>
        </r>
        <r>
          <rPr>
            <sz val="12"/>
            <rFont val="宋体"/>
            <charset val="134"/>
          </rPr>
          <t xml:space="preserve">
1002608 10/30 3000pcs B4楼C8区</t>
        </r>
      </text>
    </comment>
    <comment ref="AG58" authorId="0">
      <text>
        <r>
          <rPr>
            <b/>
            <sz val="12"/>
            <rFont val="宋体"/>
            <charset val="134"/>
          </rPr>
          <t>Administrator:</t>
        </r>
        <r>
          <rPr>
            <sz val="12"/>
            <rFont val="宋体"/>
            <charset val="134"/>
          </rPr>
          <t xml:space="preserve">
9/30 上客供亚马逊外箱贴纸 250pcs
10/13 上空白帖纸 6000pcs</t>
        </r>
      </text>
    </comment>
    <comment ref="AD59" authorId="0">
      <text>
        <r>
          <rPr>
            <b/>
            <sz val="12"/>
            <rFont val="宋体"/>
            <charset val="134"/>
          </rPr>
          <t>Administrator:</t>
        </r>
        <r>
          <rPr>
            <sz val="12"/>
            <rFont val="宋体"/>
            <charset val="134"/>
          </rPr>
          <t xml:space="preserve">
1002608 10/30 4500pcs B4楼B10区
1003684 10/31 2250pcs B4楼A8区
1003689 11/3  4500pcs B4楼A8区
1003676 11/4 27000pcs B4楼A8区
1002620 11/5 6750pcs  B4楼C9区
1003679 11/5 9000pcs  B4楼C9区
1002625  11/6 27500pcs B4楼C9区
</t>
        </r>
      </text>
    </comment>
    <comment ref="AG59" authorId="0">
      <text>
        <r>
          <rPr>
            <b/>
            <sz val="12"/>
            <rFont val="宋体"/>
            <charset val="134"/>
          </rPr>
          <t>Administrator:</t>
        </r>
        <r>
          <rPr>
            <sz val="12"/>
            <rFont val="宋体"/>
            <charset val="134"/>
          </rPr>
          <t xml:space="preserve">
10/22 上客供外箱条码贴纸 3293pcs</t>
        </r>
      </text>
    </comment>
    <comment ref="AD60" authorId="0">
      <text>
        <r>
          <rPr>
            <b/>
            <sz val="12"/>
            <rFont val="宋体"/>
            <charset val="134"/>
          </rPr>
          <t>Administrator:</t>
        </r>
        <r>
          <rPr>
            <sz val="12"/>
            <rFont val="宋体"/>
            <charset val="134"/>
          </rPr>
          <t xml:space="preserve">
1003670 11/4  930pcs 华兴一F12
1003668 11/4 2880pcs 华兴一F12</t>
        </r>
      </text>
    </comment>
    <comment ref="AD61" authorId="0">
      <text>
        <r>
          <rPr>
            <b/>
            <sz val="12"/>
            <rFont val="宋体"/>
            <charset val="134"/>
          </rPr>
          <t>Administrator:</t>
        </r>
        <r>
          <rPr>
            <sz val="12"/>
            <rFont val="宋体"/>
            <charset val="134"/>
          </rPr>
          <t xml:space="preserve">
1003689 11/3 9480pcs B4楼B9区</t>
        </r>
      </text>
    </comment>
    <comment ref="AD62" authorId="0">
      <text>
        <r>
          <rPr>
            <b/>
            <sz val="12"/>
            <rFont val="宋体"/>
            <charset val="134"/>
          </rPr>
          <t>Administrator:</t>
        </r>
        <r>
          <rPr>
            <sz val="12"/>
            <rFont val="宋体"/>
            <charset val="134"/>
          </rPr>
          <t xml:space="preserve">
1003689 11/3 5190pcs B4楼C8区</t>
        </r>
      </text>
    </comment>
    <comment ref="AD63" authorId="0">
      <text>
        <r>
          <rPr>
            <b/>
            <sz val="12"/>
            <rFont val="宋体"/>
            <charset val="134"/>
          </rPr>
          <t>Administrator:</t>
        </r>
        <r>
          <rPr>
            <sz val="12"/>
            <rFont val="宋体"/>
            <charset val="134"/>
          </rPr>
          <t xml:space="preserve">
1003668 11/4 3030pcs 华兴一F12</t>
        </r>
      </text>
    </comment>
    <comment ref="AD64" authorId="0">
      <text>
        <r>
          <rPr>
            <b/>
            <sz val="12"/>
            <rFont val="宋体"/>
            <charset val="134"/>
          </rPr>
          <t>Administrator:</t>
        </r>
        <r>
          <rPr>
            <sz val="12"/>
            <rFont val="宋体"/>
            <charset val="134"/>
          </rPr>
          <t xml:space="preserve">
1003689 11/3 780pcs B4楼B9区</t>
        </r>
      </text>
    </comment>
    <comment ref="AG64" authorId="0">
      <text>
        <r>
          <rPr>
            <b/>
            <sz val="12"/>
            <rFont val="宋体"/>
            <charset val="134"/>
          </rPr>
          <t>Administrator:</t>
        </r>
        <r>
          <rPr>
            <sz val="12"/>
            <rFont val="宋体"/>
            <charset val="134"/>
          </rPr>
          <t xml:space="preserve">
9/18 上客供警语贴纸贴球底部 808pcs
     上客供警语贴纸贴收藏指南 810pcs</t>
        </r>
      </text>
    </comment>
    <comment ref="AD65" authorId="0">
      <text>
        <r>
          <rPr>
            <b/>
            <sz val="12"/>
            <rFont val="宋体"/>
            <charset val="134"/>
          </rPr>
          <t>Administrator:</t>
        </r>
        <r>
          <rPr>
            <sz val="12"/>
            <rFont val="宋体"/>
            <charset val="134"/>
          </rPr>
          <t xml:space="preserve">
1003679 11/5 960pcs B4楼C9区</t>
        </r>
      </text>
    </comment>
    <comment ref="AG65" authorId="0">
      <text>
        <r>
          <rPr>
            <b/>
            <sz val="12"/>
            <rFont val="宋体"/>
            <charset val="134"/>
          </rPr>
          <t>Administrator:</t>
        </r>
        <r>
          <rPr>
            <sz val="12"/>
            <rFont val="宋体"/>
            <charset val="134"/>
          </rPr>
          <t xml:space="preserve">
10/17 上客供RFID贴纸 960pcs</t>
        </r>
      </text>
    </comment>
    <comment ref="AD66" authorId="0">
      <text>
        <r>
          <rPr>
            <b/>
            <sz val="12"/>
            <rFont val="宋体"/>
            <charset val="134"/>
          </rPr>
          <t>Administrator:</t>
        </r>
        <r>
          <rPr>
            <sz val="12"/>
            <rFont val="宋体"/>
            <charset val="134"/>
          </rPr>
          <t xml:space="preserve">
1002625 11/6 960pcs B4楼A9区</t>
        </r>
      </text>
    </comment>
    <comment ref="AG66" authorId="0">
      <text>
        <r>
          <rPr>
            <b/>
            <sz val="12"/>
            <rFont val="宋体"/>
            <charset val="134"/>
          </rPr>
          <t>Administrator:</t>
        </r>
        <r>
          <rPr>
            <sz val="12"/>
            <rFont val="宋体"/>
            <charset val="134"/>
          </rPr>
          <t xml:space="preserve">
10/17 上客供RFID贴纸 960pcs</t>
        </r>
      </text>
    </comment>
    <comment ref="AD67" authorId="0">
      <text>
        <r>
          <rPr>
            <b/>
            <sz val="12"/>
            <rFont val="宋体"/>
            <charset val="134"/>
          </rPr>
          <t>Administrator:</t>
        </r>
        <r>
          <rPr>
            <sz val="12"/>
            <rFont val="宋体"/>
            <charset val="134"/>
          </rPr>
          <t xml:space="preserve">
1002620 11/5 960pcs B4楼B9区</t>
        </r>
      </text>
    </comment>
    <comment ref="AG67" authorId="0">
      <text>
        <r>
          <rPr>
            <b/>
            <sz val="12"/>
            <rFont val="宋体"/>
            <charset val="134"/>
          </rPr>
          <t>Administrator:</t>
        </r>
        <r>
          <rPr>
            <sz val="12"/>
            <rFont val="宋体"/>
            <charset val="134"/>
          </rPr>
          <t xml:space="preserve">
10/17 上客供RFID贴纸 960pcs</t>
        </r>
      </text>
    </comment>
    <comment ref="AD68" authorId="0">
      <text>
        <r>
          <rPr>
            <b/>
            <sz val="12"/>
            <rFont val="宋体"/>
            <charset val="134"/>
          </rPr>
          <t>Administrator:</t>
        </r>
        <r>
          <rPr>
            <sz val="12"/>
            <rFont val="宋体"/>
            <charset val="134"/>
          </rPr>
          <t xml:space="preserve">
1002625 11/6 504pcs B4楼B9区</t>
        </r>
      </text>
    </comment>
    <comment ref="AG68" authorId="0">
      <text>
        <r>
          <rPr>
            <b/>
            <sz val="12"/>
            <rFont val="宋体"/>
            <charset val="134"/>
          </rPr>
          <t>Administrator:</t>
        </r>
        <r>
          <rPr>
            <sz val="12"/>
            <rFont val="宋体"/>
            <charset val="134"/>
          </rPr>
          <t xml:space="preserve">
10/22 上客人白色Cat label 504pcs</t>
        </r>
      </text>
    </comment>
    <comment ref="AD69" authorId="0">
      <text>
        <r>
          <rPr>
            <b/>
            <sz val="12"/>
            <rFont val="宋体"/>
            <charset val="134"/>
          </rPr>
          <t>Administrator:</t>
        </r>
        <r>
          <rPr>
            <sz val="12"/>
            <rFont val="宋体"/>
            <charset val="134"/>
          </rPr>
          <t xml:space="preserve">
0004891 9/15 50套散件</t>
        </r>
      </text>
    </comment>
    <comment ref="AD70" authorId="0">
      <text>
        <r>
          <rPr>
            <b/>
            <sz val="12"/>
            <rFont val="宋体"/>
            <charset val="134"/>
          </rPr>
          <t>Administrator:</t>
        </r>
        <r>
          <rPr>
            <sz val="12"/>
            <rFont val="宋体"/>
            <charset val="134"/>
          </rPr>
          <t xml:space="preserve">
1002660 11/11 17350pcs B4楼A7区</t>
        </r>
      </text>
    </comment>
    <comment ref="AG70" authorId="0">
      <text>
        <r>
          <rPr>
            <b/>
            <sz val="12"/>
            <rFont val="宋体"/>
            <charset val="134"/>
          </rPr>
          <t>Administrator:</t>
        </r>
        <r>
          <rPr>
            <sz val="12"/>
            <rFont val="宋体"/>
            <charset val="134"/>
          </rPr>
          <t xml:space="preserve">
10/17 上客供外箱条码贴纸 701pcs</t>
        </r>
      </text>
    </comment>
    <comment ref="AD71" authorId="0">
      <text>
        <r>
          <rPr>
            <b/>
            <sz val="12"/>
            <rFont val="宋体"/>
            <charset val="134"/>
          </rPr>
          <t>Administrator:</t>
        </r>
        <r>
          <rPr>
            <sz val="12"/>
            <rFont val="宋体"/>
            <charset val="134"/>
          </rPr>
          <t xml:space="preserve">
1002656 11/10 2080pcs B4楼B9区</t>
        </r>
      </text>
    </comment>
    <comment ref="AD72" authorId="0">
      <text>
        <r>
          <rPr>
            <b/>
            <sz val="12"/>
            <rFont val="宋体"/>
            <charset val="134"/>
          </rPr>
          <t>Administrator:</t>
        </r>
        <r>
          <rPr>
            <sz val="12"/>
            <rFont val="宋体"/>
            <charset val="134"/>
          </rPr>
          <t xml:space="preserve">
1002656 11/10 1131pcs B4楼A9区</t>
        </r>
      </text>
    </comment>
    <comment ref="AD73" authorId="0">
      <text>
        <r>
          <rPr>
            <b/>
            <sz val="12"/>
            <rFont val="宋体"/>
            <charset val="134"/>
          </rPr>
          <t>Administrator:</t>
        </r>
        <r>
          <rPr>
            <sz val="12"/>
            <rFont val="宋体"/>
            <charset val="134"/>
          </rPr>
          <t xml:space="preserve">
1002652 11/10 6318pcs B4楼B8区</t>
        </r>
      </text>
    </comment>
    <comment ref="AG73" authorId="0">
      <text>
        <r>
          <rPr>
            <b/>
            <sz val="12"/>
            <rFont val="宋体"/>
            <charset val="134"/>
          </rPr>
          <t>Administrator:</t>
        </r>
        <r>
          <rPr>
            <sz val="12"/>
            <rFont val="宋体"/>
            <charset val="134"/>
          </rPr>
          <t xml:space="preserve">
10/8 上白色防盗贴纸 6318pcs
10/22 上KM外箱贴纸 486pcs</t>
        </r>
      </text>
    </comment>
    <comment ref="AD74" authorId="0">
      <text>
        <r>
          <rPr>
            <b/>
            <sz val="12"/>
            <rFont val="宋体"/>
            <charset val="134"/>
          </rPr>
          <t>Administrator:</t>
        </r>
        <r>
          <rPr>
            <sz val="12"/>
            <rFont val="宋体"/>
            <charset val="134"/>
          </rPr>
          <t xml:space="preserve">
1002652 11/10 702pcs B4楼B9区</t>
        </r>
      </text>
    </comment>
    <comment ref="AG74" authorId="0">
      <text>
        <r>
          <rPr>
            <b/>
            <sz val="12"/>
            <rFont val="宋体"/>
            <charset val="134"/>
          </rPr>
          <t>Administrator:</t>
        </r>
        <r>
          <rPr>
            <sz val="12"/>
            <rFont val="宋体"/>
            <charset val="134"/>
          </rPr>
          <t xml:space="preserve">
10/8 上白色防盗贴纸 702pcs
10/22 上KM外箱贴纸 54pcs</t>
        </r>
      </text>
    </comment>
    <comment ref="AD75" authorId="0">
      <text>
        <r>
          <rPr>
            <b/>
            <sz val="12"/>
            <rFont val="宋体"/>
            <charset val="134"/>
          </rPr>
          <t>Administrator:</t>
        </r>
        <r>
          <rPr>
            <sz val="12"/>
            <rFont val="宋体"/>
            <charset val="134"/>
          </rPr>
          <t xml:space="preserve">
1003689 11/3 360pcs B4楼B9区</t>
        </r>
      </text>
    </comment>
    <comment ref="AD76" authorId="0">
      <text>
        <r>
          <rPr>
            <b/>
            <sz val="12"/>
            <rFont val="宋体"/>
            <charset val="134"/>
          </rPr>
          <t>Administrator:</t>
        </r>
        <r>
          <rPr>
            <sz val="12"/>
            <rFont val="宋体"/>
            <charset val="134"/>
          </rPr>
          <t xml:space="preserve">
1003689 11/3 120pcs A栋一楼</t>
        </r>
      </text>
    </comment>
    <comment ref="AD77" authorId="0">
      <text>
        <r>
          <rPr>
            <b/>
            <sz val="12"/>
            <rFont val="宋体"/>
            <charset val="134"/>
          </rPr>
          <t>Administrator:</t>
        </r>
        <r>
          <rPr>
            <sz val="12"/>
            <rFont val="宋体"/>
            <charset val="134"/>
          </rPr>
          <t xml:space="preserve">
1003651 10/23 5套</t>
        </r>
      </text>
    </comment>
    <comment ref="AD78" authorId="0">
      <text>
        <r>
          <rPr>
            <b/>
            <sz val="12"/>
            <rFont val="宋体"/>
            <charset val="134"/>
          </rPr>
          <t>Administrator:</t>
        </r>
        <r>
          <rPr>
            <sz val="12"/>
            <rFont val="宋体"/>
            <charset val="134"/>
          </rPr>
          <t xml:space="preserve">
1002691 11/13 13900pcs B4楼B8区</t>
        </r>
      </text>
    </comment>
    <comment ref="AG78" authorId="0">
      <text>
        <r>
          <rPr>
            <b/>
            <sz val="12"/>
            <rFont val="宋体"/>
            <charset val="134"/>
          </rPr>
          <t>Administrator:</t>
        </r>
        <r>
          <rPr>
            <sz val="12"/>
            <rFont val="宋体"/>
            <charset val="134"/>
          </rPr>
          <t xml:space="preserve">
10/17 上客供外箱条码贴纸 561pcs</t>
        </r>
      </text>
    </comment>
    <comment ref="AD79" authorId="0">
      <text>
        <r>
          <rPr>
            <b/>
            <sz val="12"/>
            <rFont val="宋体"/>
            <charset val="134"/>
          </rPr>
          <t>Administrator:</t>
        </r>
        <r>
          <rPr>
            <sz val="12"/>
            <rFont val="宋体"/>
            <charset val="134"/>
          </rPr>
          <t xml:space="preserve">
1002691 11/13 611pcs B4楼A9区</t>
        </r>
      </text>
    </comment>
    <comment ref="AG79" authorId="0">
      <text>
        <r>
          <rPr>
            <b/>
            <sz val="12"/>
            <rFont val="宋体"/>
            <charset val="134"/>
          </rPr>
          <t>Administrator:</t>
        </r>
        <r>
          <rPr>
            <sz val="12"/>
            <rFont val="宋体"/>
            <charset val="134"/>
          </rPr>
          <t xml:space="preserve">
9/29 上警告语贴纸 611pcs</t>
        </r>
      </text>
    </comment>
    <comment ref="AD80" authorId="0">
      <text>
        <r>
          <rPr>
            <b/>
            <sz val="12"/>
            <rFont val="宋体"/>
            <charset val="134"/>
          </rPr>
          <t>Administrator:</t>
        </r>
        <r>
          <rPr>
            <sz val="12"/>
            <rFont val="宋体"/>
            <charset val="134"/>
          </rPr>
          <t xml:space="preserve">
1003023 11/13 1925pcs B4楼A9区</t>
        </r>
      </text>
    </comment>
    <comment ref="AG80" authorId="0">
      <text>
        <r>
          <rPr>
            <b/>
            <sz val="12"/>
            <rFont val="宋体"/>
            <charset val="134"/>
          </rPr>
          <t>Administrator:</t>
        </r>
        <r>
          <rPr>
            <sz val="12"/>
            <rFont val="宋体"/>
            <charset val="134"/>
          </rPr>
          <t xml:space="preserve">
10/23 上DE警语贴纸 1925pcs
      上产品图片贴纸 154pcs</t>
        </r>
      </text>
    </comment>
    <comment ref="AD81" authorId="0">
      <text>
        <r>
          <rPr>
            <b/>
            <sz val="12"/>
            <rFont val="宋体"/>
            <charset val="134"/>
          </rPr>
          <t>Administrator:</t>
        </r>
        <r>
          <rPr>
            <sz val="12"/>
            <rFont val="宋体"/>
            <charset val="134"/>
          </rPr>
          <t xml:space="preserve">
1003676 11/4 750pcs B4楼A9区
</t>
        </r>
      </text>
    </comment>
    <comment ref="AD82" authorId="0">
      <text>
        <r>
          <rPr>
            <b/>
            <sz val="12"/>
            <rFont val="宋体"/>
            <charset val="134"/>
          </rPr>
          <t>Administrator:</t>
        </r>
        <r>
          <rPr>
            <sz val="12"/>
            <rFont val="宋体"/>
            <charset val="134"/>
          </rPr>
          <t xml:space="preserve">
1003028 11/15 1664pcs 华兴三B16</t>
        </r>
      </text>
    </comment>
    <comment ref="AG82" authorId="0">
      <text>
        <r>
          <rPr>
            <b/>
            <sz val="12"/>
            <rFont val="宋体"/>
            <charset val="134"/>
          </rPr>
          <t>Administrator:</t>
        </r>
        <r>
          <rPr>
            <sz val="12"/>
            <rFont val="宋体"/>
            <charset val="134"/>
          </rPr>
          <t xml:space="preserve">
10/22 上进口商贴纸 4836pcs</t>
        </r>
      </text>
    </comment>
    <comment ref="AD83" authorId="0">
      <text>
        <r>
          <rPr>
            <b/>
            <sz val="12"/>
            <rFont val="宋体"/>
            <charset val="134"/>
          </rPr>
          <t>Administrator:</t>
        </r>
        <r>
          <rPr>
            <sz val="12"/>
            <rFont val="宋体"/>
            <charset val="134"/>
          </rPr>
          <t xml:space="preserve">
1003028 11/15 1456pcs 华兴三B16</t>
        </r>
      </text>
    </comment>
    <comment ref="AD84" authorId="0">
      <text>
        <r>
          <rPr>
            <b/>
            <sz val="12"/>
            <rFont val="宋体"/>
            <charset val="134"/>
          </rPr>
          <t>Administrator:</t>
        </r>
        <r>
          <rPr>
            <sz val="12"/>
            <rFont val="宋体"/>
            <charset val="134"/>
          </rPr>
          <t xml:space="preserve">
1003028 11/15 1196pcs 华兴三B16</t>
        </r>
      </text>
    </comment>
    <comment ref="AD85" authorId="0">
      <text>
        <r>
          <rPr>
            <b/>
            <sz val="12"/>
            <rFont val="宋体"/>
            <charset val="134"/>
          </rPr>
          <t>Administrator:</t>
        </r>
        <r>
          <rPr>
            <sz val="12"/>
            <rFont val="宋体"/>
            <charset val="134"/>
          </rPr>
          <t xml:space="preserve">
1003028 11/15 520pcs 华兴三B16</t>
        </r>
      </text>
    </comment>
    <comment ref="AD86" authorId="0">
      <text>
        <r>
          <rPr>
            <b/>
            <sz val="12"/>
            <rFont val="宋体"/>
            <charset val="134"/>
          </rPr>
          <t>Administrator:</t>
        </r>
        <r>
          <rPr>
            <sz val="12"/>
            <rFont val="宋体"/>
            <charset val="134"/>
          </rPr>
          <t xml:space="preserve">
1002691 11/13 780pcs B4楼A9区</t>
        </r>
      </text>
    </comment>
    <comment ref="AG86" authorId="0">
      <text>
        <r>
          <rPr>
            <b/>
            <sz val="12"/>
            <rFont val="宋体"/>
            <charset val="134"/>
          </rPr>
          <t>Administrator:</t>
        </r>
        <r>
          <rPr>
            <sz val="12"/>
            <rFont val="宋体"/>
            <charset val="134"/>
          </rPr>
          <t xml:space="preserve">
10/30 上多语警语可折叠贴纸 780pcs</t>
        </r>
      </text>
    </comment>
    <comment ref="AD87" authorId="0">
      <text>
        <r>
          <rPr>
            <b/>
            <sz val="12"/>
            <rFont val="宋体"/>
            <charset val="134"/>
          </rPr>
          <t>Administrator:</t>
        </r>
        <r>
          <rPr>
            <sz val="12"/>
            <rFont val="宋体"/>
            <charset val="134"/>
          </rPr>
          <t xml:space="preserve">
1003016 11/17 960pcs 华兴三B1</t>
        </r>
      </text>
    </comment>
    <comment ref="AG87" authorId="0">
      <text>
        <r>
          <rPr>
            <b/>
            <sz val="12"/>
            <rFont val="宋体"/>
            <charset val="134"/>
          </rPr>
          <t>Administrator:</t>
        </r>
        <r>
          <rPr>
            <sz val="12"/>
            <rFont val="宋体"/>
            <charset val="134"/>
          </rPr>
          <t xml:space="preserve">
10/31 上客供RFID帖纸 960pcs</t>
        </r>
      </text>
    </comment>
    <comment ref="AD88" authorId="0">
      <text>
        <r>
          <rPr>
            <b/>
            <sz val="12"/>
            <rFont val="宋体"/>
            <charset val="134"/>
          </rPr>
          <t>Administrator:</t>
        </r>
        <r>
          <rPr>
            <sz val="12"/>
            <rFont val="宋体"/>
            <charset val="134"/>
          </rPr>
          <t xml:space="preserve">
1003016 11/17 960pcs 华兴三B1</t>
        </r>
      </text>
    </comment>
    <comment ref="AG88" authorId="0">
      <text>
        <r>
          <rPr>
            <b/>
            <sz val="12"/>
            <rFont val="宋体"/>
            <charset val="134"/>
          </rPr>
          <t>Administrator:</t>
        </r>
        <r>
          <rPr>
            <sz val="12"/>
            <rFont val="宋体"/>
            <charset val="134"/>
          </rPr>
          <t xml:space="preserve">
10/31 上客供RFID帖纸 960pcs</t>
        </r>
      </text>
    </comment>
    <comment ref="AD89" authorId="0">
      <text>
        <r>
          <rPr>
            <b/>
            <sz val="12"/>
            <rFont val="宋体"/>
            <charset val="134"/>
          </rPr>
          <t>Administrator:</t>
        </r>
        <r>
          <rPr>
            <sz val="12"/>
            <rFont val="宋体"/>
            <charset val="134"/>
          </rPr>
          <t xml:space="preserve">
1003016 11/17 960pcs 华兴三B1</t>
        </r>
      </text>
    </comment>
    <comment ref="AG89" authorId="0">
      <text>
        <r>
          <rPr>
            <b/>
            <sz val="12"/>
            <rFont val="宋体"/>
            <charset val="134"/>
          </rPr>
          <t>Administrator:</t>
        </r>
        <r>
          <rPr>
            <sz val="12"/>
            <rFont val="宋体"/>
            <charset val="134"/>
          </rPr>
          <t xml:space="preserve">
10/31 上客供RFID帖纸 960pcs</t>
        </r>
      </text>
    </comment>
    <comment ref="AD90" authorId="0">
      <text>
        <r>
          <rPr>
            <b/>
            <sz val="12"/>
            <rFont val="宋体"/>
            <charset val="134"/>
          </rPr>
          <t>Administrator:</t>
        </r>
        <r>
          <rPr>
            <sz val="12"/>
            <rFont val="宋体"/>
            <charset val="134"/>
          </rPr>
          <t xml:space="preserve">
1002999 11/18 19125pcs B4楼A6区</t>
        </r>
      </text>
    </comment>
    <comment ref="AG90" authorId="0">
      <text>
        <r>
          <rPr>
            <b/>
            <sz val="12"/>
            <rFont val="宋体"/>
            <charset val="134"/>
          </rPr>
          <t>Administrator:</t>
        </r>
        <r>
          <rPr>
            <sz val="12"/>
            <rFont val="宋体"/>
            <charset val="134"/>
          </rPr>
          <t xml:space="preserve">
10/27 上客供外箱条码帖纸 773pcs</t>
        </r>
      </text>
    </comment>
    <comment ref="AD91" authorId="0">
      <text>
        <r>
          <rPr>
            <b/>
            <sz val="12"/>
            <rFont val="宋体"/>
            <charset val="134"/>
          </rPr>
          <t>Administrator:</t>
        </r>
        <r>
          <rPr>
            <sz val="12"/>
            <rFont val="宋体"/>
            <charset val="134"/>
          </rPr>
          <t xml:space="preserve">
1002959 11/20 600pcs B4楼B10区</t>
        </r>
      </text>
    </comment>
    <comment ref="AG91" authorId="0">
      <text>
        <r>
          <rPr>
            <b/>
            <sz val="12"/>
            <rFont val="宋体"/>
            <charset val="134"/>
          </rPr>
          <t>Administrator:</t>
        </r>
        <r>
          <rPr>
            <sz val="12"/>
            <rFont val="宋体"/>
            <charset val="134"/>
          </rPr>
          <t xml:space="preserve">
10/22 上环保标贴纸 600pcs
10/28 上亚马逊外箱贴纸 50pcs
11/6 上环保贴纸 600pcs</t>
        </r>
      </text>
    </comment>
    <comment ref="AD92" authorId="0">
      <text>
        <r>
          <rPr>
            <b/>
            <sz val="12"/>
            <rFont val="宋体"/>
            <charset val="134"/>
          </rPr>
          <t>Administrator:</t>
        </r>
        <r>
          <rPr>
            <sz val="12"/>
            <rFont val="宋体"/>
            <charset val="134"/>
          </rPr>
          <t xml:space="preserve">
1002953 11/19 2370pcs B4楼A1区</t>
        </r>
      </text>
    </comment>
    <comment ref="AD93" authorId="0">
      <text>
        <r>
          <rPr>
            <b/>
            <sz val="12"/>
            <rFont val="宋体"/>
            <charset val="134"/>
          </rPr>
          <t>Administrator:</t>
        </r>
        <r>
          <rPr>
            <sz val="12"/>
            <rFont val="宋体"/>
            <charset val="134"/>
          </rPr>
          <t xml:space="preserve">
1003016 11/17 960pcs 华兴三B1</t>
        </r>
      </text>
    </comment>
    <comment ref="AG93" authorId="0">
      <text>
        <r>
          <rPr>
            <b/>
            <sz val="12"/>
            <rFont val="宋体"/>
            <charset val="134"/>
          </rPr>
          <t>Administrator:</t>
        </r>
        <r>
          <rPr>
            <sz val="12"/>
            <rFont val="宋体"/>
            <charset val="134"/>
          </rPr>
          <t xml:space="preserve">
10/31 上客供RFID帖纸 960pcs</t>
        </r>
      </text>
    </comment>
    <comment ref="AD94" authorId="0">
      <text>
        <r>
          <rPr>
            <b/>
            <sz val="12"/>
            <rFont val="宋体"/>
            <charset val="134"/>
          </rPr>
          <t>Administrator:</t>
        </r>
        <r>
          <rPr>
            <sz val="12"/>
            <rFont val="宋体"/>
            <charset val="134"/>
          </rPr>
          <t xml:space="preserve">
1002999 11/18 624pcs B4楼A7区</t>
        </r>
      </text>
    </comment>
    <comment ref="AG94" authorId="0">
      <text>
        <r>
          <rPr>
            <b/>
            <sz val="12"/>
            <rFont val="宋体"/>
            <charset val="134"/>
          </rPr>
          <t>Administrator:</t>
        </r>
        <r>
          <rPr>
            <sz val="12"/>
            <rFont val="宋体"/>
            <charset val="134"/>
          </rPr>
          <t xml:space="preserve">
10/23 上进口商贴纸 624pcs</t>
        </r>
      </text>
    </comment>
    <comment ref="AD95" authorId="0">
      <text>
        <r>
          <rPr>
            <b/>
            <sz val="12"/>
            <rFont val="宋体"/>
            <charset val="134"/>
          </rPr>
          <t>Administrator:</t>
        </r>
        <r>
          <rPr>
            <sz val="12"/>
            <rFont val="宋体"/>
            <charset val="134"/>
          </rPr>
          <t xml:space="preserve">
1002999 11/18 1300pcs B4楼A7区</t>
        </r>
      </text>
    </comment>
    <comment ref="AD96" authorId="0">
      <text>
        <r>
          <rPr>
            <b/>
            <sz val="12"/>
            <rFont val="宋体"/>
            <charset val="134"/>
          </rPr>
          <t>Administrator:</t>
        </r>
        <r>
          <rPr>
            <sz val="12"/>
            <rFont val="宋体"/>
            <charset val="134"/>
          </rPr>
          <t xml:space="preserve">
1002999 11/18 1950pcs B4楼B5区</t>
        </r>
      </text>
    </comment>
    <comment ref="AD97" authorId="0">
      <text>
        <r>
          <rPr>
            <b/>
            <sz val="12"/>
            <rFont val="宋体"/>
            <charset val="134"/>
          </rPr>
          <t>Administrator:</t>
        </r>
        <r>
          <rPr>
            <sz val="12"/>
            <rFont val="宋体"/>
            <charset val="134"/>
          </rPr>
          <t xml:space="preserve">
1003028 11/15 1170pcs 华兴三B14</t>
        </r>
      </text>
    </comment>
    <comment ref="AG97" authorId="0">
      <text>
        <r>
          <rPr>
            <b/>
            <sz val="12"/>
            <rFont val="宋体"/>
            <charset val="134"/>
          </rPr>
          <t>Administrator:</t>
        </r>
        <r>
          <rPr>
            <sz val="12"/>
            <rFont val="宋体"/>
            <charset val="134"/>
          </rPr>
          <t xml:space="preserve">
11/6 上警告语贴纸 1170pcs</t>
        </r>
      </text>
    </comment>
    <comment ref="AD98" authorId="0">
      <text>
        <r>
          <rPr>
            <b/>
            <sz val="12"/>
            <rFont val="宋体"/>
            <charset val="134"/>
          </rPr>
          <t>Administrator:</t>
        </r>
        <r>
          <rPr>
            <sz val="12"/>
            <rFont val="宋体"/>
            <charset val="134"/>
          </rPr>
          <t xml:space="preserve">
1002959 11/20 504pcs B4楼B10区
</t>
        </r>
      </text>
    </comment>
    <comment ref="AG98" authorId="0">
      <text>
        <r>
          <rPr>
            <b/>
            <sz val="12"/>
            <rFont val="宋体"/>
            <charset val="134"/>
          </rPr>
          <t>Administrator:</t>
        </r>
        <r>
          <rPr>
            <sz val="12"/>
            <rFont val="宋体"/>
            <charset val="134"/>
          </rPr>
          <t xml:space="preserve">
11/6 上环保标贴纸 2100pcs
181123/181162共用</t>
        </r>
      </text>
    </comment>
    <comment ref="AD99" authorId="0">
      <text>
        <r>
          <rPr>
            <b/>
            <sz val="12"/>
            <rFont val="宋体"/>
            <charset val="134"/>
          </rPr>
          <t>Administrator:</t>
        </r>
        <r>
          <rPr>
            <sz val="12"/>
            <rFont val="宋体"/>
            <charset val="134"/>
          </rPr>
          <t xml:space="preserve">
1002959 11/20 504pcs B4楼B10区
</t>
        </r>
      </text>
    </comment>
    <comment ref="AG99" authorId="0">
      <text>
        <r>
          <rPr>
            <b/>
            <sz val="12"/>
            <rFont val="宋体"/>
            <charset val="134"/>
          </rPr>
          <t>Administrator:</t>
        </r>
        <r>
          <rPr>
            <sz val="12"/>
            <rFont val="宋体"/>
            <charset val="134"/>
          </rPr>
          <t xml:space="preserve">
11/6 上环保标贴纸 2100pcs
181123/181162共用</t>
        </r>
      </text>
    </comment>
    <comment ref="AD100" authorId="0">
      <text>
        <r>
          <rPr>
            <b/>
            <sz val="12"/>
            <rFont val="宋体"/>
            <charset val="134"/>
          </rPr>
          <t>Administrator:</t>
        </r>
        <r>
          <rPr>
            <sz val="12"/>
            <rFont val="宋体"/>
            <charset val="134"/>
          </rPr>
          <t xml:space="preserve">
1003028 11/15 130pcs 华兴三B14</t>
        </r>
      </text>
    </comment>
    <comment ref="AG100" authorId="0">
      <text>
        <r>
          <rPr>
            <b/>
            <sz val="12"/>
            <rFont val="宋体"/>
            <charset val="134"/>
          </rPr>
          <t>Administrator:</t>
        </r>
        <r>
          <rPr>
            <sz val="12"/>
            <rFont val="宋体"/>
            <charset val="134"/>
          </rPr>
          <t xml:space="preserve">
11/4 上进口商贴纸 310pcs</t>
        </r>
      </text>
    </comment>
    <comment ref="AD101" authorId="0">
      <text>
        <r>
          <rPr>
            <b/>
            <sz val="12"/>
            <rFont val="宋体"/>
            <charset val="134"/>
          </rPr>
          <t>Administrator:</t>
        </r>
        <r>
          <rPr>
            <sz val="12"/>
            <rFont val="宋体"/>
            <charset val="134"/>
          </rPr>
          <t xml:space="preserve">
1003016 11/17 180pcs 华兴三B8</t>
        </r>
      </text>
    </comment>
    <comment ref="AD102" authorId="0">
      <text>
        <r>
          <rPr>
            <b/>
            <sz val="12"/>
            <rFont val="宋体"/>
            <charset val="134"/>
          </rPr>
          <t>Administrator:</t>
        </r>
        <r>
          <rPr>
            <sz val="12"/>
            <rFont val="宋体"/>
            <charset val="134"/>
          </rPr>
          <t xml:space="preserve">
1002959 11/20 588pcs B4楼B10区
</t>
        </r>
      </text>
    </comment>
    <comment ref="AG102" authorId="0">
      <text>
        <r>
          <rPr>
            <b/>
            <sz val="12"/>
            <rFont val="宋体"/>
            <charset val="134"/>
          </rPr>
          <t>Administrator:</t>
        </r>
        <r>
          <rPr>
            <sz val="12"/>
            <rFont val="宋体"/>
            <charset val="134"/>
          </rPr>
          <t xml:space="preserve">
11/6 上环保标贴纸 2100pcs
181123/181162共用
11/12 上亚马逊外箱贴纸 49pcs</t>
        </r>
      </text>
    </comment>
    <comment ref="AD103" authorId="0">
      <text>
        <r>
          <rPr>
            <b/>
            <sz val="12"/>
            <rFont val="宋体"/>
            <charset val="134"/>
          </rPr>
          <t>Administrator:</t>
        </r>
        <r>
          <rPr>
            <sz val="12"/>
            <rFont val="宋体"/>
            <charset val="134"/>
          </rPr>
          <t xml:space="preserve">
1002966 11/21 504pcs B4楼B9区</t>
        </r>
      </text>
    </comment>
    <comment ref="AG103" authorId="0">
      <text>
        <r>
          <rPr>
            <b/>
            <sz val="12"/>
            <rFont val="宋体"/>
            <charset val="134"/>
          </rPr>
          <t>Administrator:</t>
        </r>
        <r>
          <rPr>
            <sz val="12"/>
            <rFont val="宋体"/>
            <charset val="134"/>
          </rPr>
          <t xml:space="preserve">
11/6 上环保标贴纸 2100pcs
181123/181162共用
11/12 上亚马逊外箱贴纸 42pcs</t>
        </r>
      </text>
    </comment>
    <comment ref="AD104" authorId="0">
      <text>
        <r>
          <rPr>
            <b/>
            <sz val="12"/>
            <rFont val="宋体"/>
            <charset val="134"/>
          </rPr>
          <t>Administrator:</t>
        </r>
        <r>
          <rPr>
            <sz val="12"/>
            <rFont val="宋体"/>
            <charset val="134"/>
          </rPr>
          <t xml:space="preserve">
1002966 11/21 3150pcs B4楼B9区</t>
        </r>
      </text>
    </comment>
    <comment ref="AD105" authorId="0">
      <text>
        <r>
          <rPr>
            <b/>
            <sz val="12"/>
            <rFont val="宋体"/>
            <charset val="134"/>
          </rPr>
          <t>Administrator:</t>
        </r>
        <r>
          <rPr>
            <sz val="12"/>
            <rFont val="宋体"/>
            <charset val="134"/>
          </rPr>
          <t xml:space="preserve">
1002966 11/21 1850pcs B4楼B10区</t>
        </r>
      </text>
    </comment>
    <comment ref="AD106" authorId="0">
      <text>
        <r>
          <rPr>
            <b/>
            <sz val="12"/>
            <rFont val="宋体"/>
            <charset val="134"/>
          </rPr>
          <t>Administrator:</t>
        </r>
        <r>
          <rPr>
            <sz val="12"/>
            <rFont val="宋体"/>
            <charset val="134"/>
          </rPr>
          <t xml:space="preserve">
1002698 11/26 408pcs B4楼B9区</t>
        </r>
      </text>
    </comment>
    <comment ref="AG106" authorId="0">
      <text>
        <r>
          <rPr>
            <b/>
            <sz val="12"/>
            <rFont val="宋体"/>
            <charset val="134"/>
          </rPr>
          <t>Administrator:</t>
        </r>
        <r>
          <rPr>
            <sz val="12"/>
            <rFont val="宋体"/>
            <charset val="134"/>
          </rPr>
          <t xml:space="preserve">
11/14 上进口商贴纸 408pcs
11/19 上QR code贴纸 408pcs</t>
        </r>
      </text>
    </comment>
    <comment ref="AD107" authorId="0">
      <text>
        <r>
          <rPr>
            <b/>
            <sz val="12"/>
            <rFont val="宋体"/>
            <charset val="134"/>
          </rPr>
          <t>Administrator:</t>
        </r>
        <r>
          <rPr>
            <sz val="12"/>
            <rFont val="宋体"/>
            <charset val="134"/>
          </rPr>
          <t xml:space="preserve">
1003070 11/29 3250pcs</t>
        </r>
      </text>
    </comment>
    <comment ref="AG107" authorId="0">
      <text>
        <r>
          <rPr>
            <b/>
            <sz val="12"/>
            <rFont val="宋体"/>
            <charset val="134"/>
          </rPr>
          <t>Administrator:</t>
        </r>
        <r>
          <rPr>
            <sz val="12"/>
            <rFont val="宋体"/>
            <charset val="134"/>
          </rPr>
          <t xml:space="preserve">
10/21 上警告语进口商贴纸 3250pcs</t>
        </r>
      </text>
    </comment>
    <comment ref="AD108" authorId="0">
      <text>
        <r>
          <rPr>
            <b/>
            <sz val="12"/>
            <rFont val="宋体"/>
            <charset val="134"/>
          </rPr>
          <t>Administrator:</t>
        </r>
        <r>
          <rPr>
            <sz val="12"/>
            <rFont val="宋体"/>
            <charset val="134"/>
          </rPr>
          <t xml:space="preserve">
1003070 11/29 611pcs</t>
        </r>
      </text>
    </comment>
    <comment ref="AG108" authorId="0">
      <text>
        <r>
          <rPr>
            <b/>
            <sz val="12"/>
            <rFont val="宋体"/>
            <charset val="134"/>
          </rPr>
          <t>Administrator:</t>
        </r>
        <r>
          <rPr>
            <sz val="12"/>
            <rFont val="宋体"/>
            <charset val="134"/>
          </rPr>
          <t xml:space="preserve">
10/25 上瑞典语警告语贴纸 611pcs</t>
        </r>
      </text>
    </comment>
    <comment ref="AD109" authorId="0">
      <text>
        <r>
          <rPr>
            <b/>
            <sz val="12"/>
            <rFont val="宋体"/>
            <charset val="134"/>
          </rPr>
          <t>Administrator:</t>
        </r>
        <r>
          <rPr>
            <sz val="12"/>
            <rFont val="宋体"/>
            <charset val="134"/>
          </rPr>
          <t xml:space="preserve">
1002698 11/26 960pcs B4楼A9区</t>
        </r>
      </text>
    </comment>
    <comment ref="AG109" authorId="0">
      <text>
        <r>
          <rPr>
            <b/>
            <sz val="12"/>
            <rFont val="宋体"/>
            <charset val="134"/>
          </rPr>
          <t>Administrator:</t>
        </r>
        <r>
          <rPr>
            <sz val="12"/>
            <rFont val="宋体"/>
            <charset val="134"/>
          </rPr>
          <t xml:space="preserve">
11/21 上客供RFID贴纸 960pcs</t>
        </r>
      </text>
    </comment>
    <comment ref="AD110" authorId="0">
      <text>
        <r>
          <rPr>
            <b/>
            <sz val="12"/>
            <rFont val="宋体"/>
            <charset val="134"/>
          </rPr>
          <t>Administrator:</t>
        </r>
        <r>
          <rPr>
            <sz val="12"/>
            <rFont val="宋体"/>
            <charset val="134"/>
          </rPr>
          <t xml:space="preserve">
1002698 11/26 960pcs B4楼A9区</t>
        </r>
      </text>
    </comment>
    <comment ref="AG110" authorId="0">
      <text>
        <r>
          <rPr>
            <b/>
            <sz val="12"/>
            <rFont val="宋体"/>
            <charset val="134"/>
          </rPr>
          <t>Administrator:</t>
        </r>
        <r>
          <rPr>
            <sz val="12"/>
            <rFont val="宋体"/>
            <charset val="134"/>
          </rPr>
          <t xml:space="preserve">
11/21 上客供RFID贴纸 960pcs</t>
        </r>
      </text>
    </comment>
    <comment ref="AD111" authorId="0">
      <text>
        <r>
          <rPr>
            <b/>
            <sz val="12"/>
            <rFont val="宋体"/>
            <charset val="134"/>
          </rPr>
          <t>Administrator:</t>
        </r>
        <r>
          <rPr>
            <sz val="12"/>
            <rFont val="宋体"/>
            <charset val="134"/>
          </rPr>
          <t xml:space="preserve">
1002698 11/26 960pcs B4楼A9区</t>
        </r>
      </text>
    </comment>
    <comment ref="AG111" authorId="0">
      <text>
        <r>
          <rPr>
            <b/>
            <sz val="12"/>
            <rFont val="宋体"/>
            <charset val="134"/>
          </rPr>
          <t>Administrator:</t>
        </r>
        <r>
          <rPr>
            <sz val="12"/>
            <rFont val="宋体"/>
            <charset val="134"/>
          </rPr>
          <t xml:space="preserve">
11/21 上客供RFID贴纸 960pcs</t>
        </r>
      </text>
    </comment>
    <comment ref="AD112" authorId="0">
      <text>
        <r>
          <rPr>
            <b/>
            <sz val="12"/>
            <rFont val="宋体"/>
            <charset val="134"/>
          </rPr>
          <t>Administrator:</t>
        </r>
        <r>
          <rPr>
            <sz val="12"/>
            <rFont val="宋体"/>
            <charset val="134"/>
          </rPr>
          <t xml:space="preserve">
1003070 11/29 1209pcs</t>
        </r>
      </text>
    </comment>
    <comment ref="AG112" authorId="0">
      <text>
        <r>
          <rPr>
            <b/>
            <sz val="12"/>
            <rFont val="宋体"/>
            <charset val="134"/>
          </rPr>
          <t>Administrator:</t>
        </r>
        <r>
          <rPr>
            <sz val="12"/>
            <rFont val="宋体"/>
            <charset val="134"/>
          </rPr>
          <t xml:space="preserve">
11/17 上进口商贴纸 1209pcs</t>
        </r>
      </text>
    </comment>
    <comment ref="AD113" authorId="0">
      <text>
        <r>
          <rPr>
            <b/>
            <sz val="12"/>
            <rFont val="宋体"/>
            <charset val="134"/>
          </rPr>
          <t>Administrator:</t>
        </r>
        <r>
          <rPr>
            <sz val="12"/>
            <rFont val="宋体"/>
            <charset val="134"/>
          </rPr>
          <t xml:space="preserve">
1003070 11/29 195pcs</t>
        </r>
      </text>
    </comment>
    <comment ref="AG113" authorId="0">
      <text>
        <r>
          <rPr>
            <b/>
            <sz val="12"/>
            <rFont val="宋体"/>
            <charset val="134"/>
          </rPr>
          <t>Administrator:</t>
        </r>
        <r>
          <rPr>
            <sz val="12"/>
            <rFont val="宋体"/>
            <charset val="134"/>
          </rPr>
          <t xml:space="preserve">
10/25 上警告语/客人进口商地址贴纸 195pcs</t>
        </r>
      </text>
    </comment>
    <comment ref="AD114" authorId="0">
      <text>
        <r>
          <rPr>
            <b/>
            <sz val="12"/>
            <rFont val="宋体"/>
            <charset val="134"/>
          </rPr>
          <t>Administrator:</t>
        </r>
        <r>
          <rPr>
            <sz val="12"/>
            <rFont val="宋体"/>
            <charset val="134"/>
          </rPr>
          <t xml:space="preserve">
1003070 11/29 400pcs</t>
        </r>
      </text>
    </comment>
    <comment ref="AG114" authorId="0">
      <text>
        <r>
          <rPr>
            <b/>
            <sz val="12"/>
            <rFont val="宋体"/>
            <charset val="134"/>
          </rPr>
          <t>Administrator:</t>
        </r>
        <r>
          <rPr>
            <sz val="12"/>
            <rFont val="宋体"/>
            <charset val="134"/>
          </rPr>
          <t xml:space="preserve">
11/17 上进口商贴纸 5400pcs
      上UPC贴纸 5400pcs
181141/179365共用</t>
        </r>
      </text>
    </comment>
    <comment ref="AD115" authorId="0">
      <text>
        <r>
          <rPr>
            <b/>
            <sz val="12"/>
            <rFont val="宋体"/>
            <charset val="134"/>
          </rPr>
          <t>Administrator:</t>
        </r>
        <r>
          <rPr>
            <sz val="12"/>
            <rFont val="宋体"/>
            <charset val="134"/>
          </rPr>
          <t xml:space="preserve">
1002677 11/25 15015pcs B4楼A7区</t>
        </r>
      </text>
    </comment>
    <comment ref="AG115" authorId="0">
      <text>
        <r>
          <rPr>
            <b/>
            <sz val="12"/>
            <rFont val="宋体"/>
            <charset val="134"/>
          </rPr>
          <t>Administrator:</t>
        </r>
        <r>
          <rPr>
            <sz val="12"/>
            <rFont val="宋体"/>
            <charset val="134"/>
          </rPr>
          <t xml:space="preserve">
10/17 上客供防串码贴纸 1拖13 15015pcs
10/16 上年龄贴纸 15015pcs</t>
        </r>
      </text>
    </comment>
    <comment ref="AD116" authorId="0">
      <text>
        <r>
          <rPr>
            <b/>
            <sz val="12"/>
            <rFont val="宋体"/>
            <charset val="134"/>
          </rPr>
          <t>Administrator:</t>
        </r>
        <r>
          <rPr>
            <sz val="12"/>
            <rFont val="宋体"/>
            <charset val="134"/>
          </rPr>
          <t xml:space="preserve">
1003118 12/5 572pcs 华兴三B13</t>
        </r>
      </text>
    </comment>
    <comment ref="AG116" authorId="0">
      <text>
        <r>
          <rPr>
            <b/>
            <sz val="12"/>
            <rFont val="宋体"/>
            <charset val="134"/>
          </rPr>
          <t>Administrator:</t>
        </r>
        <r>
          <rPr>
            <sz val="12"/>
            <rFont val="宋体"/>
            <charset val="134"/>
          </rPr>
          <t xml:space="preserve">
11/24 上德意警告语贴纸 572pcs</t>
        </r>
      </text>
    </comment>
    <comment ref="AD117" authorId="0">
      <text>
        <r>
          <rPr>
            <b/>
            <sz val="12"/>
            <rFont val="宋体"/>
            <charset val="134"/>
          </rPr>
          <t>Administrator:</t>
        </r>
        <r>
          <rPr>
            <sz val="12"/>
            <rFont val="宋体"/>
            <charset val="134"/>
          </rPr>
          <t xml:space="preserve">
1003111 12/4 17850pcs B4楼B8区</t>
        </r>
      </text>
    </comment>
    <comment ref="AG117" authorId="0">
      <text>
        <r>
          <rPr>
            <b/>
            <sz val="12"/>
            <rFont val="宋体"/>
            <charset val="134"/>
          </rPr>
          <t>Administrator:</t>
        </r>
        <r>
          <rPr>
            <sz val="12"/>
            <rFont val="宋体"/>
            <charset val="134"/>
          </rPr>
          <t xml:space="preserve">
11/6 上客供外箱条码贴纸 721pcs</t>
        </r>
      </text>
    </comment>
    <comment ref="AD118" authorId="0">
      <text>
        <r>
          <rPr>
            <b/>
            <sz val="12"/>
            <rFont val="宋体"/>
            <charset val="134"/>
          </rPr>
          <t>Administrator:</t>
        </r>
        <r>
          <rPr>
            <sz val="12"/>
            <rFont val="宋体"/>
            <charset val="134"/>
          </rPr>
          <t xml:space="preserve">
1003089 12/2 960pcs B4楼B9区</t>
        </r>
      </text>
    </comment>
    <comment ref="AG118" authorId="0">
      <text>
        <r>
          <rPr>
            <b/>
            <sz val="12"/>
            <rFont val="宋体"/>
            <charset val="134"/>
          </rPr>
          <t>Administrator:</t>
        </r>
        <r>
          <rPr>
            <sz val="12"/>
            <rFont val="宋体"/>
            <charset val="134"/>
          </rPr>
          <t xml:space="preserve">
11/21 上客供RFID贴纸 960pcs</t>
        </r>
      </text>
    </comment>
    <comment ref="AD119" authorId="0">
      <text>
        <r>
          <rPr>
            <b/>
            <sz val="12"/>
            <rFont val="宋体"/>
            <charset val="134"/>
          </rPr>
          <t>Administrator:</t>
        </r>
        <r>
          <rPr>
            <sz val="12"/>
            <rFont val="宋体"/>
            <charset val="134"/>
          </rPr>
          <t xml:space="preserve">
1002959 11/20 588pcs B4楼B10区
</t>
        </r>
      </text>
    </comment>
    <comment ref="AG119" authorId="0">
      <text>
        <r>
          <rPr>
            <b/>
            <sz val="12"/>
            <rFont val="宋体"/>
            <charset val="134"/>
          </rPr>
          <t>Administrator:</t>
        </r>
        <r>
          <rPr>
            <sz val="12"/>
            <rFont val="宋体"/>
            <charset val="134"/>
          </rPr>
          <t xml:space="preserve">
11/12 上亚马逊外箱贴纸 49pcs
11/13 上环保标贴纸 588pcs</t>
        </r>
      </text>
    </comment>
    <comment ref="AD120" authorId="0">
      <text>
        <r>
          <rPr>
            <b/>
            <sz val="12"/>
            <rFont val="宋体"/>
            <charset val="134"/>
          </rPr>
          <t>Administrator:</t>
        </r>
        <r>
          <rPr>
            <sz val="12"/>
            <rFont val="宋体"/>
            <charset val="134"/>
          </rPr>
          <t xml:space="preserve">
1003089 12/3 4560pcs B4楼B7区</t>
        </r>
      </text>
    </comment>
    <comment ref="AG120" authorId="0">
      <text>
        <r>
          <rPr>
            <b/>
            <sz val="12"/>
            <rFont val="宋体"/>
            <charset val="134"/>
          </rPr>
          <t>Administrator:</t>
        </r>
        <r>
          <rPr>
            <sz val="12"/>
            <rFont val="宋体"/>
            <charset val="134"/>
          </rPr>
          <t xml:space="preserve">
10/30 上德语警告语贴纸 4560pcs
11/24 上客供价格贴纸 4560pcs</t>
        </r>
      </text>
    </comment>
    <comment ref="AD121" authorId="0">
      <text>
        <r>
          <rPr>
            <b/>
            <sz val="12"/>
            <rFont val="宋体"/>
            <charset val="134"/>
          </rPr>
          <t>Administrator:</t>
        </r>
        <r>
          <rPr>
            <sz val="12"/>
            <rFont val="宋体"/>
            <charset val="134"/>
          </rPr>
          <t xml:space="preserve">
1003089 12/3 507pcs B4楼B9区</t>
        </r>
      </text>
    </comment>
    <comment ref="AG121" authorId="0">
      <text>
        <r>
          <rPr>
            <b/>
            <sz val="12"/>
            <rFont val="宋体"/>
            <charset val="134"/>
          </rPr>
          <t>Administrator:</t>
        </r>
        <r>
          <rPr>
            <sz val="12"/>
            <rFont val="宋体"/>
            <charset val="134"/>
          </rPr>
          <t xml:space="preserve">
11/24 上可折叠贴纸 1017pcs</t>
        </r>
      </text>
    </comment>
    <comment ref="AD122" authorId="0">
      <text>
        <r>
          <rPr>
            <b/>
            <sz val="12"/>
            <rFont val="宋体"/>
            <charset val="134"/>
          </rPr>
          <t>Administrator:</t>
        </r>
        <r>
          <rPr>
            <sz val="12"/>
            <rFont val="宋体"/>
            <charset val="134"/>
          </rPr>
          <t xml:space="preserve">
1003136 12/8 510pcs 华兴三B8</t>
        </r>
      </text>
    </comment>
    <comment ref="AD123" authorId="0">
      <text>
        <r>
          <rPr>
            <b/>
            <sz val="12"/>
            <rFont val="宋体"/>
            <charset val="134"/>
          </rPr>
          <t>Administrator:</t>
        </r>
        <r>
          <rPr>
            <sz val="12"/>
            <rFont val="宋体"/>
            <charset val="134"/>
          </rPr>
          <t xml:space="preserve">
1003111 12/4 3601pcs B4楼A8区</t>
        </r>
      </text>
    </comment>
    <comment ref="AG123" authorId="0">
      <text>
        <r>
          <rPr>
            <b/>
            <sz val="12"/>
            <rFont val="宋体"/>
            <charset val="134"/>
          </rPr>
          <t>Administrator:</t>
        </r>
        <r>
          <rPr>
            <sz val="12"/>
            <rFont val="宋体"/>
            <charset val="134"/>
          </rPr>
          <t xml:space="preserve">
11/26 上多语警语折叠贴纸 3601pcs</t>
        </r>
      </text>
    </comment>
    <comment ref="AD124" authorId="0">
      <text>
        <r>
          <rPr>
            <b/>
            <sz val="12"/>
            <rFont val="宋体"/>
            <charset val="134"/>
          </rPr>
          <t>Administrator:</t>
        </r>
        <r>
          <rPr>
            <sz val="12"/>
            <rFont val="宋体"/>
            <charset val="134"/>
          </rPr>
          <t xml:space="preserve">
1003211 12/11 1001pcs B4楼B9区</t>
        </r>
      </text>
    </comment>
    <comment ref="AG124" authorId="0">
      <text>
        <r>
          <rPr>
            <b/>
            <sz val="12"/>
            <rFont val="宋体"/>
            <charset val="134"/>
          </rPr>
          <t>Administrator:</t>
        </r>
        <r>
          <rPr>
            <sz val="12"/>
            <rFont val="宋体"/>
            <charset val="134"/>
          </rPr>
          <t xml:space="preserve">
12/8  上客供防串码贴纸1拖13 1001pcs
11/21 上年龄贴纸 1000pcs</t>
        </r>
      </text>
    </comment>
    <comment ref="AD125" authorId="0">
      <text>
        <r>
          <rPr>
            <b/>
            <sz val="12"/>
            <rFont val="宋体"/>
            <charset val="134"/>
          </rPr>
          <t>Administrator:</t>
        </r>
        <r>
          <rPr>
            <sz val="12"/>
            <rFont val="宋体"/>
            <charset val="134"/>
          </rPr>
          <t xml:space="preserve">
1003146 12/9 960pcs B4楼B5区</t>
        </r>
      </text>
    </comment>
    <comment ref="AG125" authorId="0">
      <text>
        <r>
          <rPr>
            <b/>
            <sz val="12"/>
            <rFont val="宋体"/>
            <charset val="134"/>
          </rPr>
          <t>Administrator:</t>
        </r>
        <r>
          <rPr>
            <sz val="12"/>
            <rFont val="宋体"/>
            <charset val="134"/>
          </rPr>
          <t xml:space="preserve">
11/21 上客供RFID贴纸 960pcs</t>
        </r>
      </text>
    </comment>
    <comment ref="AD126" authorId="0">
      <text>
        <r>
          <rPr>
            <b/>
            <sz val="12"/>
            <rFont val="宋体"/>
            <charset val="134"/>
          </rPr>
          <t>Administrator:</t>
        </r>
        <r>
          <rPr>
            <sz val="12"/>
            <rFont val="宋体"/>
            <charset val="134"/>
          </rPr>
          <t xml:space="preserve">
1003146 12/9 960pcs B4楼B5区</t>
        </r>
      </text>
    </comment>
    <comment ref="AG126" authorId="0">
      <text>
        <r>
          <rPr>
            <b/>
            <sz val="12"/>
            <rFont val="宋体"/>
            <charset val="134"/>
          </rPr>
          <t>Administrator:</t>
        </r>
        <r>
          <rPr>
            <sz val="12"/>
            <rFont val="宋体"/>
            <charset val="134"/>
          </rPr>
          <t xml:space="preserve">
11/21 上客供RFID贴纸 960pcs</t>
        </r>
      </text>
    </comment>
    <comment ref="AD127" authorId="0">
      <text>
        <r>
          <rPr>
            <b/>
            <sz val="12"/>
            <rFont val="宋体"/>
            <charset val="134"/>
          </rPr>
          <t>Administrator:</t>
        </r>
        <r>
          <rPr>
            <sz val="12"/>
            <rFont val="宋体"/>
            <charset val="134"/>
          </rPr>
          <t xml:space="preserve">
1003146 12/9 960pcs B4楼B5区</t>
        </r>
      </text>
    </comment>
    <comment ref="AG127" authorId="0">
      <text>
        <r>
          <rPr>
            <b/>
            <sz val="12"/>
            <rFont val="宋体"/>
            <charset val="134"/>
          </rPr>
          <t>Administrator:</t>
        </r>
        <r>
          <rPr>
            <sz val="12"/>
            <rFont val="宋体"/>
            <charset val="134"/>
          </rPr>
          <t xml:space="preserve">
11/21 上客供RFID贴纸 960pcs</t>
        </r>
      </text>
    </comment>
    <comment ref="AD128" authorId="0">
      <text>
        <r>
          <rPr>
            <b/>
            <sz val="12"/>
            <rFont val="宋体"/>
            <charset val="134"/>
          </rPr>
          <t>Administrator:</t>
        </r>
        <r>
          <rPr>
            <sz val="12"/>
            <rFont val="宋体"/>
            <charset val="134"/>
          </rPr>
          <t xml:space="preserve">
1003146 12/9 960pcs B4楼B5区</t>
        </r>
      </text>
    </comment>
    <comment ref="AG128" authorId="0">
      <text>
        <r>
          <rPr>
            <b/>
            <sz val="12"/>
            <rFont val="宋体"/>
            <charset val="134"/>
          </rPr>
          <t>Administrator:</t>
        </r>
        <r>
          <rPr>
            <sz val="12"/>
            <rFont val="宋体"/>
            <charset val="134"/>
          </rPr>
          <t xml:space="preserve">
11/21 上客供RFID贴纸 960pcs</t>
        </r>
      </text>
    </comment>
    <comment ref="AD129" authorId="0">
      <text>
        <r>
          <rPr>
            <b/>
            <sz val="12"/>
            <rFont val="宋体"/>
            <charset val="134"/>
          </rPr>
          <t>Administrator:</t>
        </r>
        <r>
          <rPr>
            <sz val="12"/>
            <rFont val="宋体"/>
            <charset val="134"/>
          </rPr>
          <t xml:space="preserve">
1003173 12/16 12pcs B4楼A8区</t>
        </r>
      </text>
    </comment>
    <comment ref="AG129" authorId="0">
      <text>
        <r>
          <rPr>
            <b/>
            <sz val="12"/>
            <rFont val="宋体"/>
            <charset val="134"/>
          </rPr>
          <t>Administrator:</t>
        </r>
        <r>
          <rPr>
            <sz val="12"/>
            <rFont val="宋体"/>
            <charset val="134"/>
          </rPr>
          <t xml:space="preserve">
11/27 上客供亚马逊外箱贴纸 1pcs
12/3 上空白贴纸 120pcs</t>
        </r>
      </text>
    </comment>
    <comment ref="AD130" authorId="0">
      <text>
        <r>
          <rPr>
            <b/>
            <sz val="12"/>
            <rFont val="宋体"/>
            <charset val="134"/>
          </rPr>
          <t>Administrator:</t>
        </r>
        <r>
          <rPr>
            <sz val="12"/>
            <rFont val="宋体"/>
            <charset val="134"/>
          </rPr>
          <t xml:space="preserve">
1003173 12/16 12pcs B4楼A8区</t>
        </r>
      </text>
    </comment>
    <comment ref="AG130" authorId="0">
      <text>
        <r>
          <rPr>
            <b/>
            <sz val="12"/>
            <rFont val="宋体"/>
            <charset val="134"/>
          </rPr>
          <t>Administrator:</t>
        </r>
        <r>
          <rPr>
            <sz val="12"/>
            <rFont val="宋体"/>
            <charset val="134"/>
          </rPr>
          <t xml:space="preserve">
11/27 上客供亚马逊外箱贴纸 1pcs
12/3 上空白贴纸 120pcs</t>
        </r>
      </text>
    </comment>
    <comment ref="AD131" authorId="0">
      <text>
        <r>
          <rPr>
            <b/>
            <sz val="12"/>
            <rFont val="宋体"/>
            <charset val="134"/>
          </rPr>
          <t>Administrator:</t>
        </r>
        <r>
          <rPr>
            <sz val="12"/>
            <rFont val="宋体"/>
            <charset val="134"/>
          </rPr>
          <t xml:space="preserve">
1003173 12/16 12pcs B4楼A8区</t>
        </r>
      </text>
    </comment>
    <comment ref="AG131" authorId="0">
      <text>
        <r>
          <rPr>
            <b/>
            <sz val="12"/>
            <rFont val="宋体"/>
            <charset val="134"/>
          </rPr>
          <t>Administrator:</t>
        </r>
        <r>
          <rPr>
            <sz val="12"/>
            <rFont val="宋体"/>
            <charset val="134"/>
          </rPr>
          <t xml:space="preserve">
11/27 上客供亚马逊外箱贴纸 1pcs
12/3 上空白贴纸 120pcs</t>
        </r>
      </text>
    </comment>
    <comment ref="AD132" authorId="0">
      <text>
        <r>
          <rPr>
            <b/>
            <sz val="12"/>
            <rFont val="宋体"/>
            <charset val="134"/>
          </rPr>
          <t>Administrator:</t>
        </r>
        <r>
          <rPr>
            <sz val="12"/>
            <rFont val="宋体"/>
            <charset val="134"/>
          </rPr>
          <t xml:space="preserve">
1003173 12/16 12pcs B4楼A8区</t>
        </r>
      </text>
    </comment>
    <comment ref="AG132" authorId="0">
      <text>
        <r>
          <rPr>
            <b/>
            <sz val="12"/>
            <rFont val="宋体"/>
            <charset val="134"/>
          </rPr>
          <t>Administrator:</t>
        </r>
        <r>
          <rPr>
            <sz val="12"/>
            <rFont val="宋体"/>
            <charset val="134"/>
          </rPr>
          <t xml:space="preserve">
11/27 上客供亚马逊外箱贴纸 1pcs
12/3 上空白贴纸 120pcs</t>
        </r>
      </text>
    </comment>
    <comment ref="AD133" authorId="0">
      <text>
        <r>
          <rPr>
            <b/>
            <sz val="12"/>
            <rFont val="宋体"/>
            <charset val="134"/>
          </rPr>
          <t>Administrator:</t>
        </r>
        <r>
          <rPr>
            <sz val="12"/>
            <rFont val="宋体"/>
            <charset val="134"/>
          </rPr>
          <t xml:space="preserve">
1003173 12/16 12pcs B4楼A8区</t>
        </r>
      </text>
    </comment>
    <comment ref="AG133" authorId="0">
      <text>
        <r>
          <rPr>
            <b/>
            <sz val="12"/>
            <rFont val="宋体"/>
            <charset val="134"/>
          </rPr>
          <t>Administrator:</t>
        </r>
        <r>
          <rPr>
            <sz val="12"/>
            <rFont val="宋体"/>
            <charset val="134"/>
          </rPr>
          <t xml:space="preserve">
11/27 上客供亚马逊外箱贴纸 1pcs
12/3 上空白贴纸 120pcs</t>
        </r>
      </text>
    </comment>
    <comment ref="AD134" authorId="0">
      <text>
        <r>
          <rPr>
            <b/>
            <sz val="12"/>
            <rFont val="宋体"/>
            <charset val="134"/>
          </rPr>
          <t>Administrator:</t>
        </r>
        <r>
          <rPr>
            <sz val="12"/>
            <rFont val="宋体"/>
            <charset val="134"/>
          </rPr>
          <t xml:space="preserve">
1003146 12/9 960pcs B4楼B5区</t>
        </r>
      </text>
    </comment>
    <comment ref="AG134" authorId="0">
      <text>
        <r>
          <rPr>
            <b/>
            <sz val="12"/>
            <rFont val="宋体"/>
            <charset val="134"/>
          </rPr>
          <t>Administrator:</t>
        </r>
        <r>
          <rPr>
            <sz val="12"/>
            <rFont val="宋体"/>
            <charset val="134"/>
          </rPr>
          <t xml:space="preserve">
11/21 上客供RFID贴纸 960pcs</t>
        </r>
      </text>
    </comment>
    <comment ref="AD135" authorId="0">
      <text>
        <r>
          <rPr>
            <b/>
            <sz val="12"/>
            <rFont val="宋体"/>
            <charset val="134"/>
          </rPr>
          <t>Administrator:</t>
        </r>
        <r>
          <rPr>
            <sz val="12"/>
            <rFont val="宋体"/>
            <charset val="134"/>
          </rPr>
          <t xml:space="preserve">
1003245 12/15 30套散件</t>
        </r>
      </text>
    </comment>
    <comment ref="AD136" authorId="0">
      <text>
        <r>
          <rPr>
            <b/>
            <sz val="12"/>
            <rFont val="宋体"/>
            <charset val="134"/>
          </rPr>
          <t>Administrator:</t>
        </r>
        <r>
          <rPr>
            <sz val="12"/>
            <rFont val="宋体"/>
            <charset val="134"/>
          </rPr>
          <t xml:space="preserve">
1003173 12/16 390pcs A栋一楼</t>
        </r>
      </text>
    </comment>
    <comment ref="AD137" authorId="0">
      <text>
        <r>
          <rPr>
            <b/>
            <sz val="12"/>
            <rFont val="宋体"/>
            <charset val="134"/>
          </rPr>
          <t>Administrator:</t>
        </r>
        <r>
          <rPr>
            <sz val="12"/>
            <rFont val="宋体"/>
            <charset val="134"/>
          </rPr>
          <t xml:space="preserve">
1003173 12/16 1500pcs A栋一楼</t>
        </r>
      </text>
    </comment>
    <comment ref="AD138" authorId="0">
      <text>
        <r>
          <rPr>
            <b/>
            <sz val="12"/>
            <rFont val="宋体"/>
            <charset val="134"/>
          </rPr>
          <t>Administrator:</t>
        </r>
        <r>
          <rPr>
            <sz val="12"/>
            <rFont val="宋体"/>
            <charset val="134"/>
          </rPr>
          <t xml:space="preserve">
1003150 12/9 13500pcs B4楼B4区
1003170 12/10 7500pcs B4楼B4区</t>
        </r>
      </text>
    </comment>
    <comment ref="AG138" authorId="0">
      <text>
        <r>
          <rPr>
            <b/>
            <sz val="12"/>
            <rFont val="宋体"/>
            <charset val="134"/>
          </rPr>
          <t>Administrator:</t>
        </r>
        <r>
          <rPr>
            <sz val="12"/>
            <rFont val="宋体"/>
            <charset val="134"/>
          </rPr>
          <t xml:space="preserve">
11/6 上客供外箱条码贴纸 848pcs</t>
        </r>
      </text>
    </comment>
    <comment ref="AD139" authorId="0">
      <text>
        <r>
          <rPr>
            <b/>
            <sz val="12"/>
            <rFont val="宋体"/>
            <charset val="134"/>
          </rPr>
          <t>Administrator:</t>
        </r>
        <r>
          <rPr>
            <sz val="12"/>
            <rFont val="宋体"/>
            <charset val="134"/>
          </rPr>
          <t xml:space="preserve">
1003173 12/16 450pcs B4楼A8区</t>
        </r>
      </text>
    </comment>
    <comment ref="AG139" authorId="0">
      <text>
        <r>
          <rPr>
            <b/>
            <sz val="12"/>
            <rFont val="宋体"/>
            <charset val="134"/>
          </rPr>
          <t>Administrator:</t>
        </r>
        <r>
          <rPr>
            <sz val="12"/>
            <rFont val="宋体"/>
            <charset val="134"/>
          </rPr>
          <t xml:space="preserve">
12/2 上客供价格贴纸 481pcs
12/8 上进口商贴纸 450pcs
     上UPC贴纸 450pcs</t>
        </r>
      </text>
    </comment>
    <comment ref="AD140" authorId="0">
      <text>
        <r>
          <rPr>
            <b/>
            <sz val="12"/>
            <rFont val="宋体"/>
            <charset val="134"/>
          </rPr>
          <t>Administrator:</t>
        </r>
        <r>
          <rPr>
            <sz val="12"/>
            <rFont val="宋体"/>
            <charset val="134"/>
          </rPr>
          <t xml:space="preserve">
1003233 12/13 13000pcs 华兴三A26</t>
        </r>
      </text>
    </comment>
    <comment ref="AG140" authorId="0">
      <text>
        <r>
          <rPr>
            <b/>
            <sz val="12"/>
            <rFont val="宋体"/>
            <charset val="134"/>
          </rPr>
          <t>Administrator:</t>
        </r>
        <r>
          <rPr>
            <sz val="12"/>
            <rFont val="宋体"/>
            <charset val="134"/>
          </rPr>
          <t xml:space="preserve">
11/6 上进口商贴纸 13000pcs
     上UPC条码贴纸 13000pcs</t>
        </r>
      </text>
    </comment>
    <comment ref="AD141" authorId="0">
      <text>
        <r>
          <rPr>
            <b/>
            <sz val="12"/>
            <rFont val="宋体"/>
            <charset val="134"/>
          </rPr>
          <t>Administrator:</t>
        </r>
        <r>
          <rPr>
            <sz val="12"/>
            <rFont val="宋体"/>
            <charset val="134"/>
          </rPr>
          <t xml:space="preserve">
1003237 12/13 1500pcs B4楼B3区</t>
        </r>
      </text>
    </comment>
    <comment ref="AG141" authorId="0">
      <text>
        <r>
          <rPr>
            <b/>
            <sz val="12"/>
            <rFont val="宋体"/>
            <charset val="134"/>
          </rPr>
          <t>Administrator:</t>
        </r>
        <r>
          <rPr>
            <sz val="12"/>
            <rFont val="宋体"/>
            <charset val="134"/>
          </rPr>
          <t xml:space="preserve">
11/28 上进口商贴纸 4000pcs
      上UPC贴纸 4000pcs
184316/184355/184422共用</t>
        </r>
      </text>
    </comment>
    <comment ref="AD142" authorId="0">
      <text>
        <r>
          <rPr>
            <b/>
            <sz val="12"/>
            <rFont val="宋体"/>
            <charset val="134"/>
          </rPr>
          <t>Administrator:</t>
        </r>
        <r>
          <rPr>
            <sz val="12"/>
            <rFont val="宋体"/>
            <charset val="134"/>
          </rPr>
          <t xml:space="preserve">
1003237 12/13 1250pcs B4楼B5区</t>
        </r>
      </text>
    </comment>
    <comment ref="AG142" authorId="0">
      <text>
        <r>
          <rPr>
            <b/>
            <sz val="12"/>
            <rFont val="宋体"/>
            <charset val="134"/>
          </rPr>
          <t>Administrator:</t>
        </r>
        <r>
          <rPr>
            <sz val="12"/>
            <rFont val="宋体"/>
            <charset val="134"/>
          </rPr>
          <t xml:space="preserve">
11/28 上进口商贴纸 4000pcs
      上UPC贴纸 4000pcs
184316/184355/184422共用</t>
        </r>
      </text>
    </comment>
    <comment ref="AD143" authorId="0">
      <text>
        <r>
          <rPr>
            <b/>
            <sz val="12"/>
            <rFont val="宋体"/>
            <charset val="134"/>
          </rPr>
          <t>Administrator:</t>
        </r>
        <r>
          <rPr>
            <sz val="12"/>
            <rFont val="宋体"/>
            <charset val="134"/>
          </rPr>
          <t xml:space="preserve">
1003237 12/13 1250pcs B4楼B5区</t>
        </r>
      </text>
    </comment>
    <comment ref="AG143" authorId="0">
      <text>
        <r>
          <rPr>
            <b/>
            <sz val="12"/>
            <rFont val="宋体"/>
            <charset val="134"/>
          </rPr>
          <t>Administrator:</t>
        </r>
        <r>
          <rPr>
            <sz val="12"/>
            <rFont val="宋体"/>
            <charset val="134"/>
          </rPr>
          <t xml:space="preserve">
11/28 上进口商贴纸 4000pcs
      上UPC贴纸 4000pcs
184316/184355/184422共用</t>
        </r>
      </text>
    </comment>
    <comment ref="AD144" authorId="0">
      <text>
        <r>
          <rPr>
            <b/>
            <sz val="12"/>
            <rFont val="宋体"/>
            <charset val="134"/>
          </rPr>
          <t xml:space="preserve">Administrator:
</t>
        </r>
        <r>
          <rPr>
            <sz val="12"/>
            <rFont val="宋体"/>
            <charset val="134"/>
          </rPr>
          <t>1002629 12/19 300pcs B4楼B5区</t>
        </r>
      </text>
    </comment>
    <comment ref="AG144" authorId="0">
      <text>
        <r>
          <rPr>
            <b/>
            <sz val="12"/>
            <rFont val="宋体"/>
            <charset val="134"/>
          </rPr>
          <t>Administrator:</t>
        </r>
        <r>
          <rPr>
            <sz val="12"/>
            <rFont val="宋体"/>
            <charset val="134"/>
          </rPr>
          <t xml:space="preserve">
12/5 上EAN贴纸 300pcs
     上警告语贴纸 300pcs</t>
        </r>
      </text>
    </comment>
    <comment ref="AD145" authorId="0">
      <text>
        <r>
          <rPr>
            <b/>
            <sz val="12"/>
            <rFont val="宋体"/>
            <charset val="134"/>
          </rPr>
          <t>Administrator:</t>
        </r>
        <r>
          <rPr>
            <sz val="12"/>
            <rFont val="宋体"/>
            <charset val="134"/>
          </rPr>
          <t xml:space="preserve">
1003180 12/17 2750pcs B4楼C8区</t>
        </r>
      </text>
    </comment>
    <comment ref="AG145" authorId="0">
      <text>
        <r>
          <rPr>
            <b/>
            <sz val="12"/>
            <rFont val="宋体"/>
            <charset val="134"/>
          </rPr>
          <t>Administrator:</t>
        </r>
        <r>
          <rPr>
            <sz val="12"/>
            <rFont val="宋体"/>
            <charset val="134"/>
          </rPr>
          <t xml:space="preserve">
12/9 上进口商贴纸 2750pcs
     上UPC贴纸 2750pcs
12/10 上外箱贴纸 110pcs</t>
        </r>
      </text>
    </comment>
    <comment ref="AD146" authorId="0">
      <text>
        <r>
          <rPr>
            <b/>
            <sz val="12"/>
            <rFont val="宋体"/>
            <charset val="134"/>
          </rPr>
          <t>Administrator:</t>
        </r>
        <r>
          <rPr>
            <sz val="12"/>
            <rFont val="宋体"/>
            <charset val="134"/>
          </rPr>
          <t xml:space="preserve">
1002629 12/19 5000pcs B4楼A5区</t>
        </r>
      </text>
    </comment>
    <comment ref="AG146" authorId="0">
      <text>
        <r>
          <rPr>
            <b/>
            <sz val="12"/>
            <rFont val="宋体"/>
            <charset val="134"/>
          </rPr>
          <t>Administrator:</t>
        </r>
        <r>
          <rPr>
            <sz val="12"/>
            <rFont val="宋体"/>
            <charset val="134"/>
          </rPr>
          <t xml:space="preserve">
11/17 上进口商贴纸 5400pcs
      上UPC贴纸 5400pcs
181141/179365共用</t>
        </r>
      </text>
    </comment>
    <comment ref="AD147" authorId="0">
      <text>
        <r>
          <rPr>
            <b/>
            <sz val="12"/>
            <rFont val="宋体"/>
            <charset val="134"/>
          </rPr>
          <t>Administrator:</t>
        </r>
        <r>
          <rPr>
            <sz val="12"/>
            <rFont val="宋体"/>
            <charset val="134"/>
          </rPr>
          <t xml:space="preserve">
1003170 12/10 1800pcs B4楼B9区
1003250 12/16 5208pcs B4楼A8区
</t>
        </r>
      </text>
    </comment>
    <comment ref="AG147" authorId="0">
      <text>
        <r>
          <rPr>
            <b/>
            <sz val="12"/>
            <rFont val="宋体"/>
            <charset val="134"/>
          </rPr>
          <t>Administrator:</t>
        </r>
        <r>
          <rPr>
            <sz val="12"/>
            <rFont val="宋体"/>
            <charset val="134"/>
          </rPr>
          <t xml:space="preserve">
12/3 上WIC贴贴纸 32040pcs</t>
        </r>
      </text>
    </comment>
    <comment ref="AD148" authorId="0">
      <text>
        <r>
          <rPr>
            <b/>
            <sz val="12"/>
            <rFont val="宋体"/>
            <charset val="134"/>
          </rPr>
          <t>Administrator:</t>
        </r>
        <r>
          <rPr>
            <sz val="12"/>
            <rFont val="宋体"/>
            <charset val="134"/>
          </rPr>
          <t xml:space="preserve">
1002186 12/22 300pcs</t>
        </r>
      </text>
    </comment>
    <comment ref="AD149" authorId="0">
      <text>
        <r>
          <rPr>
            <b/>
            <sz val="12"/>
            <rFont val="宋体"/>
            <charset val="134"/>
          </rPr>
          <t>Administrator:</t>
        </r>
        <r>
          <rPr>
            <sz val="12"/>
            <rFont val="宋体"/>
            <charset val="134"/>
          </rPr>
          <t xml:space="preserve">
1002186 12/22 12600pcs 
1002196 12/23 12432pcs</t>
        </r>
      </text>
    </comment>
    <comment ref="AG149" authorId="0">
      <text>
        <r>
          <rPr>
            <b/>
            <sz val="12"/>
            <rFont val="宋体"/>
            <charset val="134"/>
          </rPr>
          <t>Administrator:</t>
        </r>
        <r>
          <rPr>
            <sz val="12"/>
            <rFont val="宋体"/>
            <charset val="134"/>
          </rPr>
          <t xml:space="preserve">
12/3 上WIC贴贴纸 32040pcs</t>
        </r>
      </text>
    </comment>
    <comment ref="AD150" authorId="0">
      <text>
        <r>
          <rPr>
            <b/>
            <sz val="12"/>
            <rFont val="宋体"/>
            <charset val="134"/>
          </rPr>
          <t>Administrator:</t>
        </r>
        <r>
          <rPr>
            <sz val="12"/>
            <rFont val="宋体"/>
            <charset val="134"/>
          </rPr>
          <t xml:space="preserve">
1002176 12/24 168pcs A栋一楼</t>
        </r>
      </text>
    </comment>
    <comment ref="AD151" authorId="0">
      <text>
        <r>
          <rPr>
            <b/>
            <sz val="12"/>
            <rFont val="宋体"/>
            <charset val="134"/>
          </rPr>
          <t>Administrator:</t>
        </r>
        <r>
          <rPr>
            <sz val="12"/>
            <rFont val="宋体"/>
            <charset val="134"/>
          </rPr>
          <t xml:space="preserve">
1003758 12/31 17套散件</t>
        </r>
      </text>
    </comment>
    <comment ref="AD152" authorId="0">
      <text>
        <r>
          <rPr>
            <b/>
            <sz val="12"/>
            <rFont val="宋体"/>
            <charset val="134"/>
          </rPr>
          <t>Administrator:</t>
        </r>
        <r>
          <rPr>
            <sz val="12"/>
            <rFont val="宋体"/>
            <charset val="134"/>
          </rPr>
          <t xml:space="preserve">
1002196 12/23 3000pcs</t>
        </r>
      </text>
    </comment>
    <comment ref="AG152" authorId="0">
      <text>
        <r>
          <rPr>
            <b/>
            <sz val="12"/>
            <rFont val="宋体"/>
            <charset val="134"/>
          </rPr>
          <t>Administrator:</t>
        </r>
        <r>
          <rPr>
            <sz val="12"/>
            <rFont val="宋体"/>
            <charset val="134"/>
          </rPr>
          <t xml:space="preserve">
12/8 上进口商贴纸（含客户条码） 3000pcs</t>
        </r>
      </text>
    </comment>
    <comment ref="AD153" authorId="0">
      <text>
        <r>
          <rPr>
            <b/>
            <sz val="12"/>
            <rFont val="宋体"/>
            <charset val="134"/>
          </rPr>
          <t>Administrator:</t>
        </r>
        <r>
          <rPr>
            <sz val="12"/>
            <rFont val="宋体"/>
            <charset val="134"/>
          </rPr>
          <t xml:space="preserve">
1002186 12/22 7000pcs</t>
        </r>
      </text>
    </comment>
    <comment ref="AG153" authorId="0">
      <text>
        <r>
          <rPr>
            <b/>
            <sz val="12"/>
            <rFont val="宋体"/>
            <charset val="134"/>
          </rPr>
          <t>Administrator:</t>
        </r>
        <r>
          <rPr>
            <sz val="12"/>
            <rFont val="宋体"/>
            <charset val="134"/>
          </rPr>
          <t xml:space="preserve">
12/8 上进口商贴纸（含客户条码） 7000pcs</t>
        </r>
      </text>
    </comment>
    <comment ref="AD154" authorId="0">
      <text>
        <r>
          <rPr>
            <b/>
            <sz val="12"/>
            <rFont val="宋体"/>
            <charset val="134"/>
          </rPr>
          <t>Administrator:</t>
        </r>
        <r>
          <rPr>
            <sz val="12"/>
            <rFont val="宋体"/>
            <charset val="134"/>
          </rPr>
          <t xml:space="preserve">
1002511 12/25 2250pcs B4楼A9区</t>
        </r>
      </text>
    </comment>
    <comment ref="AD155" authorId="0">
      <text>
        <r>
          <rPr>
            <b/>
            <sz val="12"/>
            <rFont val="宋体"/>
            <charset val="134"/>
          </rPr>
          <t>Administrator:</t>
        </r>
        <r>
          <rPr>
            <sz val="12"/>
            <rFont val="宋体"/>
            <charset val="134"/>
          </rPr>
          <t xml:space="preserve">
1002511 12/25 960pcs B4楼B9区</t>
        </r>
      </text>
    </comment>
    <comment ref="AG155" authorId="0">
      <text>
        <r>
          <rPr>
            <b/>
            <sz val="12"/>
            <rFont val="宋体"/>
            <charset val="134"/>
          </rPr>
          <t>Administrator:</t>
        </r>
        <r>
          <rPr>
            <sz val="12"/>
            <rFont val="宋体"/>
            <charset val="134"/>
          </rPr>
          <t xml:space="preserve">
11/21 上客供RFID贴纸 960pcs</t>
        </r>
      </text>
    </comment>
    <comment ref="AD156" authorId="0">
      <text>
        <r>
          <rPr>
            <b/>
            <sz val="12"/>
            <rFont val="宋体"/>
            <charset val="134"/>
          </rPr>
          <t>Administrator:</t>
        </r>
        <r>
          <rPr>
            <sz val="12"/>
            <rFont val="宋体"/>
            <charset val="134"/>
          </rPr>
          <t xml:space="preserve">
1002511 12/25 960pcs B4楼B9区</t>
        </r>
      </text>
    </comment>
    <comment ref="AG156" authorId="0">
      <text>
        <r>
          <rPr>
            <b/>
            <sz val="12"/>
            <rFont val="宋体"/>
            <charset val="134"/>
          </rPr>
          <t>Administrator:</t>
        </r>
        <r>
          <rPr>
            <sz val="12"/>
            <rFont val="宋体"/>
            <charset val="134"/>
          </rPr>
          <t xml:space="preserve">
11/21 上客供RFID贴纸 960pcs</t>
        </r>
      </text>
    </comment>
    <comment ref="AD157" authorId="0">
      <text>
        <r>
          <rPr>
            <b/>
            <sz val="12"/>
            <rFont val="宋体"/>
            <charset val="134"/>
          </rPr>
          <t>Administrator:</t>
        </r>
        <r>
          <rPr>
            <sz val="12"/>
            <rFont val="宋体"/>
            <charset val="134"/>
          </rPr>
          <t xml:space="preserve">
1002518 12/26 1890pcs B4楼B9区</t>
        </r>
      </text>
    </comment>
    <comment ref="AG157" authorId="0">
      <text>
        <r>
          <rPr>
            <b/>
            <sz val="12"/>
            <rFont val="宋体"/>
            <charset val="134"/>
          </rPr>
          <t>Administrator:</t>
        </r>
        <r>
          <rPr>
            <sz val="12"/>
            <rFont val="宋体"/>
            <charset val="134"/>
          </rPr>
          <t xml:space="preserve">
11/27 上客供RFID贴纸 1890pcs</t>
        </r>
      </text>
    </comment>
    <comment ref="AD158" authorId="0">
      <text>
        <r>
          <rPr>
            <b/>
            <sz val="12"/>
            <rFont val="宋体"/>
            <charset val="134"/>
          </rPr>
          <t>Administrator:</t>
        </r>
        <r>
          <rPr>
            <sz val="12"/>
            <rFont val="宋体"/>
            <charset val="134"/>
          </rPr>
          <t xml:space="preserve">
1002511 12/25 832pcs B4楼A9区</t>
        </r>
      </text>
    </comment>
    <comment ref="AG158" authorId="0">
      <text>
        <r>
          <rPr>
            <b/>
            <sz val="12"/>
            <rFont val="宋体"/>
            <charset val="134"/>
          </rPr>
          <t>Administrator:</t>
        </r>
        <r>
          <rPr>
            <sz val="12"/>
            <rFont val="宋体"/>
            <charset val="134"/>
          </rPr>
          <t xml:space="preserve">
12/10 上款号贴纸 832pcs
      上警语贴纸 832pcs</t>
        </r>
      </text>
    </comment>
    <comment ref="AD159" authorId="0">
      <text>
        <r>
          <rPr>
            <b/>
            <sz val="12"/>
            <rFont val="宋体"/>
            <charset val="134"/>
          </rPr>
          <t>Administrator:</t>
        </r>
        <r>
          <rPr>
            <sz val="12"/>
            <rFont val="宋体"/>
            <charset val="134"/>
          </rPr>
          <t xml:space="preserve">
1003758 12/31 4590pcs B4楼B4区</t>
        </r>
      </text>
    </comment>
    <comment ref="AG159" authorId="0">
      <text>
        <r>
          <rPr>
            <b/>
            <sz val="12"/>
            <rFont val="宋体"/>
            <charset val="134"/>
          </rPr>
          <t>Administrator:</t>
        </r>
        <r>
          <rPr>
            <sz val="12"/>
            <rFont val="宋体"/>
            <charset val="134"/>
          </rPr>
          <t xml:space="preserve">
12/8 上客供RFID贴纸 4590pcs</t>
        </r>
      </text>
    </comment>
    <comment ref="AD160" authorId="0">
      <text>
        <r>
          <rPr>
            <b/>
            <sz val="12"/>
            <rFont val="宋体"/>
            <charset val="134"/>
          </rPr>
          <t>Administrator:</t>
        </r>
        <r>
          <rPr>
            <sz val="12"/>
            <rFont val="宋体"/>
            <charset val="134"/>
          </rPr>
          <t xml:space="preserve">
1003758 12/31 4200pcs B4楼B4区</t>
        </r>
      </text>
    </comment>
    <comment ref="AG160" authorId="0">
      <text>
        <r>
          <rPr>
            <b/>
            <sz val="12"/>
            <rFont val="宋体"/>
            <charset val="134"/>
          </rPr>
          <t>Administrator:</t>
        </r>
        <r>
          <rPr>
            <sz val="12"/>
            <rFont val="宋体"/>
            <charset val="134"/>
          </rPr>
          <t xml:space="preserve">
12/8 上客供RFID贴纸 4200pcs</t>
        </r>
      </text>
    </comment>
    <comment ref="AD161" authorId="0">
      <text>
        <r>
          <rPr>
            <b/>
            <sz val="12"/>
            <rFont val="宋体"/>
            <charset val="134"/>
          </rPr>
          <t>Administrator:</t>
        </r>
        <r>
          <rPr>
            <sz val="12"/>
            <rFont val="宋体"/>
            <charset val="134"/>
          </rPr>
          <t xml:space="preserve">
1003758 12/31 2000pcs B栋4楼A9区</t>
        </r>
      </text>
    </comment>
    <comment ref="AG161" authorId="0">
      <text>
        <r>
          <rPr>
            <b/>
            <sz val="12"/>
            <rFont val="宋体"/>
            <charset val="134"/>
          </rPr>
          <t>Administrator:</t>
        </r>
        <r>
          <rPr>
            <sz val="12"/>
            <rFont val="宋体"/>
            <charset val="134"/>
          </rPr>
          <t xml:space="preserve">
12/17 上进口商贴纸 2000pcs</t>
        </r>
      </text>
    </comment>
    <comment ref="AD162" authorId="0">
      <text>
        <r>
          <rPr>
            <b/>
            <sz val="12"/>
            <rFont val="宋体"/>
            <charset val="134"/>
          </rPr>
          <t>Administrator:</t>
        </r>
        <r>
          <rPr>
            <sz val="12"/>
            <rFont val="宋体"/>
            <charset val="134"/>
          </rPr>
          <t xml:space="preserve">
1003758 12/31 2400pcs B栋四楼A9</t>
        </r>
      </text>
    </comment>
    <comment ref="AG162" authorId="0">
      <text>
        <r>
          <rPr>
            <b/>
            <sz val="12"/>
            <rFont val="宋体"/>
            <charset val="134"/>
          </rPr>
          <t>Administrator:</t>
        </r>
        <r>
          <rPr>
            <sz val="12"/>
            <rFont val="宋体"/>
            <charset val="134"/>
          </rPr>
          <t xml:space="preserve">
12/16 上进口商贴纸 2400pcs
      上UPC贴纸 2400pcs</t>
        </r>
      </text>
    </comment>
    <comment ref="AD163" authorId="0">
      <text>
        <r>
          <rPr>
            <b/>
            <sz val="12"/>
            <rFont val="宋体"/>
            <charset val="134"/>
          </rPr>
          <t>Administrator:</t>
        </r>
        <r>
          <rPr>
            <sz val="12"/>
            <rFont val="宋体"/>
            <charset val="134"/>
          </rPr>
          <t xml:space="preserve">
1003758 12/31 3450pcs B栋四楼B5</t>
        </r>
      </text>
    </comment>
    <comment ref="AG163" authorId="0">
      <text>
        <r>
          <rPr>
            <b/>
            <sz val="12"/>
            <rFont val="宋体"/>
            <charset val="134"/>
          </rPr>
          <t>Administrator:</t>
        </r>
        <r>
          <rPr>
            <sz val="12"/>
            <rFont val="宋体"/>
            <charset val="134"/>
          </rPr>
          <t xml:space="preserve">
12/8 上客供RFID贴纸 3450pcs</t>
        </r>
      </text>
    </comment>
    <comment ref="AD164" authorId="0">
      <text>
        <r>
          <rPr>
            <b/>
            <sz val="12"/>
            <rFont val="宋体"/>
            <charset val="134"/>
          </rPr>
          <t>Administrator:</t>
        </r>
        <r>
          <rPr>
            <sz val="12"/>
            <rFont val="宋体"/>
            <charset val="134"/>
          </rPr>
          <t xml:space="preserve">
1003758 12/31 12pcs B栋四楼B1</t>
        </r>
      </text>
    </comment>
    <comment ref="AG164" authorId="0">
      <text>
        <r>
          <rPr>
            <b/>
            <sz val="12"/>
            <rFont val="宋体"/>
            <charset val="134"/>
          </rPr>
          <t>Administrator:</t>
        </r>
        <r>
          <rPr>
            <sz val="12"/>
            <rFont val="宋体"/>
            <charset val="134"/>
          </rPr>
          <t xml:space="preserve">
12/23 上空白贴纸 24pcs
12/23 收到客供亚马逊外箱贴纸 1pcs</t>
        </r>
      </text>
    </comment>
    <comment ref="AD165" authorId="0">
      <text>
        <r>
          <rPr>
            <b/>
            <sz val="12"/>
            <rFont val="宋体"/>
            <charset val="134"/>
          </rPr>
          <t>Administrator:</t>
        </r>
        <r>
          <rPr>
            <sz val="12"/>
            <rFont val="宋体"/>
            <charset val="134"/>
          </rPr>
          <t xml:space="preserve">
1003758 12/31 6210pcs B栋四楼A4</t>
        </r>
      </text>
    </comment>
    <comment ref="AG165" authorId="0">
      <text>
        <r>
          <rPr>
            <b/>
            <sz val="12"/>
            <rFont val="宋体"/>
            <charset val="134"/>
          </rPr>
          <t>Administrator:</t>
        </r>
        <r>
          <rPr>
            <sz val="12"/>
            <rFont val="宋体"/>
            <charset val="134"/>
          </rPr>
          <t xml:space="preserve">
12/15 上客供RFID贴纸 6210pcs</t>
        </r>
      </text>
    </comment>
    <comment ref="AD166" authorId="0">
      <text>
        <r>
          <rPr>
            <b/>
            <sz val="12"/>
            <rFont val="宋体"/>
            <charset val="134"/>
          </rPr>
          <t>Administrator:</t>
        </r>
        <r>
          <rPr>
            <sz val="12"/>
            <rFont val="宋体"/>
            <charset val="134"/>
          </rPr>
          <t xml:space="preserve">
1003731 1/6 960pcs B4楼C5区</t>
        </r>
      </text>
    </comment>
    <comment ref="AG166" authorId="0">
      <text>
        <r>
          <rPr>
            <b/>
            <sz val="12"/>
            <rFont val="宋体"/>
            <charset val="134"/>
          </rPr>
          <t>Administrator:</t>
        </r>
        <r>
          <rPr>
            <sz val="12"/>
            <rFont val="宋体"/>
            <charset val="134"/>
          </rPr>
          <t xml:space="preserve">
12/8 上客供RFID贴纸 960pcs</t>
        </r>
      </text>
    </comment>
    <comment ref="AD167" authorId="0">
      <text>
        <r>
          <rPr>
            <b/>
            <sz val="12"/>
            <rFont val="宋体"/>
            <charset val="134"/>
          </rPr>
          <t>Administrator:</t>
        </r>
        <r>
          <rPr>
            <sz val="12"/>
            <rFont val="宋体"/>
            <charset val="134"/>
          </rPr>
          <t xml:space="preserve">
1003731 1/6 960pcs B4楼C5区</t>
        </r>
      </text>
    </comment>
    <comment ref="AG167" authorId="0">
      <text>
        <r>
          <rPr>
            <b/>
            <sz val="12"/>
            <rFont val="宋体"/>
            <charset val="134"/>
          </rPr>
          <t>Administrator:</t>
        </r>
        <r>
          <rPr>
            <sz val="12"/>
            <rFont val="宋体"/>
            <charset val="134"/>
          </rPr>
          <t xml:space="preserve">
12/8 上客供RFID贴纸 960pcs</t>
        </r>
      </text>
    </comment>
    <comment ref="AD168" authorId="0">
      <text>
        <r>
          <rPr>
            <b/>
            <sz val="12"/>
            <rFont val="宋体"/>
            <charset val="134"/>
          </rPr>
          <t>Administrator:</t>
        </r>
        <r>
          <rPr>
            <sz val="12"/>
            <rFont val="宋体"/>
            <charset val="134"/>
          </rPr>
          <t xml:space="preserve">
1003731 1/6 960pcs B4楼B9区</t>
        </r>
      </text>
    </comment>
    <comment ref="AG168" authorId="0">
      <text>
        <r>
          <rPr>
            <b/>
            <sz val="12"/>
            <rFont val="宋体"/>
            <charset val="134"/>
          </rPr>
          <t>Administrator:</t>
        </r>
        <r>
          <rPr>
            <sz val="12"/>
            <rFont val="宋体"/>
            <charset val="134"/>
          </rPr>
          <t xml:space="preserve">
12/8 上客供RFID贴纸 960pcs</t>
        </r>
      </text>
    </comment>
    <comment ref="AD169" authorId="0">
      <text>
        <r>
          <rPr>
            <b/>
            <sz val="12"/>
            <rFont val="宋体"/>
            <charset val="134"/>
          </rPr>
          <t>Administrator:</t>
        </r>
        <r>
          <rPr>
            <sz val="12"/>
            <rFont val="宋体"/>
            <charset val="134"/>
          </rPr>
          <t xml:space="preserve">
1003731 1/6 960pcs B4楼C5区</t>
        </r>
      </text>
    </comment>
    <comment ref="AG169" authorId="0">
      <text>
        <r>
          <rPr>
            <b/>
            <sz val="12"/>
            <rFont val="宋体"/>
            <charset val="134"/>
          </rPr>
          <t>Administrator:</t>
        </r>
        <r>
          <rPr>
            <sz val="12"/>
            <rFont val="宋体"/>
            <charset val="134"/>
          </rPr>
          <t xml:space="preserve">
12/8 上客供RFID贴纸 960pcs</t>
        </r>
      </text>
    </comment>
    <comment ref="AD170" authorId="0">
      <text>
        <r>
          <rPr>
            <b/>
            <sz val="12"/>
            <rFont val="宋体"/>
            <charset val="134"/>
          </rPr>
          <t>Administrator:</t>
        </r>
        <r>
          <rPr>
            <sz val="12"/>
            <rFont val="宋体"/>
            <charset val="134"/>
          </rPr>
          <t xml:space="preserve">
1003731 1/6 960pcs B4楼B1区</t>
        </r>
      </text>
    </comment>
    <comment ref="AG170" authorId="0">
      <text>
        <r>
          <rPr>
            <b/>
            <sz val="12"/>
            <rFont val="宋体"/>
            <charset val="134"/>
          </rPr>
          <t>Administrator:</t>
        </r>
        <r>
          <rPr>
            <sz val="12"/>
            <rFont val="宋体"/>
            <charset val="134"/>
          </rPr>
          <t xml:space="preserve">
12/8 上客供RFID贴纸 960pcs</t>
        </r>
      </text>
    </comment>
    <comment ref="AD171" authorId="0">
      <text>
        <r>
          <rPr>
            <b/>
            <sz val="12"/>
            <rFont val="宋体"/>
            <charset val="134"/>
          </rPr>
          <t>Administrator:</t>
        </r>
        <r>
          <rPr>
            <sz val="12"/>
            <rFont val="宋体"/>
            <charset val="134"/>
          </rPr>
          <t xml:space="preserve">
1001174 1/14 8套空展示架</t>
        </r>
      </text>
    </comment>
    <comment ref="AD172" authorId="0">
      <text>
        <r>
          <rPr>
            <b/>
            <sz val="12"/>
            <rFont val="宋体"/>
            <charset val="134"/>
          </rPr>
          <t>Administrator:</t>
        </r>
        <r>
          <rPr>
            <sz val="12"/>
            <rFont val="宋体"/>
            <charset val="134"/>
          </rPr>
          <t xml:space="preserve">
1001230 1/9 7200pcs B4楼A2区</t>
        </r>
      </text>
    </comment>
    <comment ref="AD173" authorId="0">
      <text>
        <r>
          <rPr>
            <b/>
            <sz val="12"/>
            <rFont val="宋体"/>
            <charset val="134"/>
          </rPr>
          <t>Administrator:</t>
        </r>
        <r>
          <rPr>
            <sz val="12"/>
            <rFont val="宋体"/>
            <charset val="134"/>
          </rPr>
          <t xml:space="preserve">
1001230 1/9 800pcs B4楼B8区</t>
        </r>
      </text>
    </comment>
    <comment ref="AG173" authorId="0">
      <text>
        <r>
          <rPr>
            <b/>
            <sz val="12"/>
            <rFont val="宋体"/>
            <charset val="134"/>
          </rPr>
          <t>Administrator:</t>
        </r>
        <r>
          <rPr>
            <sz val="12"/>
            <rFont val="宋体"/>
            <charset val="134"/>
          </rPr>
          <t xml:space="preserve">
12/10 上UPC贴纸 800pcs</t>
        </r>
      </text>
    </comment>
    <comment ref="AD174" authorId="0">
      <text>
        <r>
          <rPr>
            <b/>
            <sz val="12"/>
            <rFont val="宋体"/>
            <charset val="134"/>
          </rPr>
          <t>Administrator:</t>
        </r>
        <r>
          <rPr>
            <sz val="12"/>
            <rFont val="宋体"/>
            <charset val="134"/>
          </rPr>
          <t xml:space="preserve">
1003271 1/21 34套散件（3026个球）</t>
        </r>
      </text>
    </comment>
    <comment ref="AD175" authorId="0">
      <text>
        <r>
          <rPr>
            <b/>
            <sz val="12"/>
            <rFont val="宋体"/>
            <charset val="134"/>
          </rPr>
          <t>Administrator:</t>
        </r>
        <r>
          <rPr>
            <sz val="12"/>
            <rFont val="宋体"/>
            <charset val="134"/>
          </rPr>
          <t xml:space="preserve">
1001230 1/9 1200pcs B4楼B8区</t>
        </r>
      </text>
    </comment>
    <comment ref="AG175" authorId="0">
      <text>
        <r>
          <rPr>
            <b/>
            <sz val="12"/>
            <rFont val="宋体"/>
            <charset val="134"/>
          </rPr>
          <t>Administrator:</t>
        </r>
        <r>
          <rPr>
            <sz val="12"/>
            <rFont val="宋体"/>
            <charset val="134"/>
          </rPr>
          <t xml:space="preserve">
12/25 上西班牙环保标贴纸 1200pcs</t>
        </r>
      </text>
    </comment>
    <comment ref="AD176" authorId="0">
      <text>
        <r>
          <rPr>
            <b/>
            <sz val="12"/>
            <rFont val="宋体"/>
            <charset val="134"/>
          </rPr>
          <t>Administrator:</t>
        </r>
        <r>
          <rPr>
            <sz val="12"/>
            <rFont val="宋体"/>
            <charset val="134"/>
          </rPr>
          <t xml:space="preserve">
1001184 1/13 12pcs B4楼B1区</t>
        </r>
      </text>
    </comment>
    <comment ref="AG176" authorId="0">
      <text>
        <r>
          <rPr>
            <b/>
            <sz val="12"/>
            <rFont val="宋体"/>
            <charset val="134"/>
          </rPr>
          <t>Administrator:</t>
        </r>
        <r>
          <rPr>
            <sz val="12"/>
            <rFont val="宋体"/>
            <charset val="134"/>
          </rPr>
          <t xml:space="preserve">
12/23 收到客供亚马逊外箱贴纸 1pcs</t>
        </r>
      </text>
    </comment>
    <comment ref="AD177" authorId="0">
      <text>
        <r>
          <rPr>
            <b/>
            <sz val="12"/>
            <rFont val="宋体"/>
            <charset val="134"/>
          </rPr>
          <t>Administrator:</t>
        </r>
        <r>
          <rPr>
            <sz val="12"/>
            <rFont val="宋体"/>
            <charset val="134"/>
          </rPr>
          <t xml:space="preserve">
1001230 1/9 1200pcs B4楼B3区</t>
        </r>
      </text>
    </comment>
    <comment ref="AG177" authorId="0">
      <text>
        <r>
          <rPr>
            <b/>
            <sz val="12"/>
            <rFont val="宋体"/>
            <charset val="134"/>
          </rPr>
          <t>Administrator:</t>
        </r>
        <r>
          <rPr>
            <sz val="12"/>
            <rFont val="宋体"/>
            <charset val="134"/>
          </rPr>
          <t xml:space="preserve">
12/22 上西班牙环保标贴纸 1200pcs</t>
        </r>
      </text>
    </comment>
    <comment ref="AD178" authorId="0">
      <text>
        <r>
          <rPr>
            <b/>
            <sz val="12"/>
            <rFont val="宋体"/>
            <charset val="134"/>
          </rPr>
          <t>Administrator:</t>
        </r>
        <r>
          <rPr>
            <sz val="12"/>
            <rFont val="宋体"/>
            <charset val="134"/>
          </rPr>
          <t xml:space="preserve">
1001234 1/10 6930pcs B4楼A6区</t>
        </r>
      </text>
    </comment>
    <comment ref="AG178" authorId="0">
      <text>
        <r>
          <rPr>
            <b/>
            <sz val="12"/>
            <rFont val="宋体"/>
            <charset val="134"/>
          </rPr>
          <t>Administrator:</t>
        </r>
        <r>
          <rPr>
            <sz val="12"/>
            <rFont val="宋体"/>
            <charset val="134"/>
          </rPr>
          <t xml:space="preserve">
12/8 上客供RFID贴纸 6930pcs</t>
        </r>
      </text>
    </comment>
    <comment ref="AD179" authorId="0">
      <text>
        <r>
          <rPr>
            <b/>
            <sz val="12"/>
            <rFont val="宋体"/>
            <charset val="134"/>
          </rPr>
          <t>Administrator:</t>
        </r>
        <r>
          <rPr>
            <sz val="12"/>
            <rFont val="宋体"/>
            <charset val="134"/>
          </rPr>
          <t xml:space="preserve">
1001184 1/13 960pcs B4楼A3区</t>
        </r>
      </text>
    </comment>
    <comment ref="AG179" authorId="0">
      <text>
        <r>
          <rPr>
            <b/>
            <sz val="12"/>
            <rFont val="宋体"/>
            <charset val="134"/>
          </rPr>
          <t>Administrator:</t>
        </r>
        <r>
          <rPr>
            <sz val="12"/>
            <rFont val="宋体"/>
            <charset val="134"/>
          </rPr>
          <t xml:space="preserve">
12/8 上客供RFID贴纸 960pcs</t>
        </r>
      </text>
    </comment>
    <comment ref="AD180" authorId="0">
      <text>
        <r>
          <rPr>
            <b/>
            <sz val="12"/>
            <rFont val="宋体"/>
            <charset val="134"/>
          </rPr>
          <t>Administrator:</t>
        </r>
        <r>
          <rPr>
            <sz val="12"/>
            <rFont val="宋体"/>
            <charset val="134"/>
          </rPr>
          <t xml:space="preserve">
1001191 1/13 1500pcs B4楼A2区</t>
        </r>
      </text>
    </comment>
    <comment ref="AG180" authorId="0">
      <text>
        <r>
          <rPr>
            <b/>
            <sz val="12"/>
            <rFont val="宋体"/>
            <charset val="134"/>
          </rPr>
          <t>Administrator:</t>
        </r>
        <r>
          <rPr>
            <sz val="12"/>
            <rFont val="宋体"/>
            <charset val="134"/>
          </rPr>
          <t xml:space="preserve">
1/9 上UPC贴纸 1500pcs
    上进口商贴纸 1500pcs</t>
        </r>
      </text>
    </comment>
    <comment ref="AD181" authorId="0">
      <text>
        <r>
          <rPr>
            <b/>
            <sz val="12"/>
            <rFont val="宋体"/>
            <charset val="134"/>
          </rPr>
          <t>Administrator:</t>
        </r>
        <r>
          <rPr>
            <sz val="12"/>
            <rFont val="宋体"/>
            <charset val="134"/>
          </rPr>
          <t xml:space="preserve">
1001210 1/10 2730pcs B4楼B4区</t>
        </r>
      </text>
    </comment>
    <comment ref="AG181" authorId="0">
      <text>
        <r>
          <rPr>
            <b/>
            <sz val="12"/>
            <rFont val="宋体"/>
            <charset val="134"/>
          </rPr>
          <t>Administrator:</t>
        </r>
        <r>
          <rPr>
            <sz val="12"/>
            <rFont val="宋体"/>
            <charset val="134"/>
          </rPr>
          <t xml:space="preserve">
12/8 上客供RFID贴纸 2730pcs</t>
        </r>
      </text>
    </comment>
    <comment ref="AD182" authorId="0">
      <text>
        <r>
          <rPr>
            <b/>
            <sz val="12"/>
            <rFont val="宋体"/>
            <charset val="134"/>
          </rPr>
          <t>Administrator:</t>
        </r>
        <r>
          <rPr>
            <sz val="12"/>
            <rFont val="宋体"/>
            <charset val="134"/>
          </rPr>
          <t xml:space="preserve">
1001191 1/13 300pcs B4楼A2区</t>
        </r>
      </text>
    </comment>
    <comment ref="AG182" authorId="0">
      <text>
        <r>
          <rPr>
            <b/>
            <sz val="12"/>
            <rFont val="宋体"/>
            <charset val="134"/>
          </rPr>
          <t>Administrator:</t>
        </r>
        <r>
          <rPr>
            <sz val="12"/>
            <rFont val="宋体"/>
            <charset val="134"/>
          </rPr>
          <t xml:space="preserve">
12/31 上西班牙环保贴纸 300pcs</t>
        </r>
      </text>
    </comment>
    <comment ref="AD183" authorId="0">
      <text>
        <r>
          <rPr>
            <b/>
            <sz val="12"/>
            <rFont val="宋体"/>
            <charset val="134"/>
          </rPr>
          <t>Administrator:</t>
        </r>
        <r>
          <rPr>
            <sz val="12"/>
            <rFont val="宋体"/>
            <charset val="134"/>
          </rPr>
          <t xml:space="preserve">
1001184 1/13 960pcs B4楼A3区</t>
        </r>
      </text>
    </comment>
    <comment ref="AG183" authorId="0">
      <text>
        <r>
          <rPr>
            <b/>
            <sz val="12"/>
            <rFont val="宋体"/>
            <charset val="134"/>
          </rPr>
          <t>Administrator:</t>
        </r>
        <r>
          <rPr>
            <sz val="12"/>
            <rFont val="宋体"/>
            <charset val="134"/>
          </rPr>
          <t xml:space="preserve">
12/8 上客供RFID贴纸 960pcs</t>
        </r>
      </text>
    </comment>
    <comment ref="AD184" authorId="0">
      <text>
        <r>
          <rPr>
            <b/>
            <sz val="12"/>
            <rFont val="宋体"/>
            <charset val="134"/>
          </rPr>
          <t>Administrator:</t>
        </r>
        <r>
          <rPr>
            <sz val="12"/>
            <rFont val="宋体"/>
            <charset val="134"/>
          </rPr>
          <t xml:space="preserve">
1001184 1/13 960pcs B4楼B5区</t>
        </r>
      </text>
    </comment>
    <comment ref="AG184" authorId="0">
      <text>
        <r>
          <rPr>
            <b/>
            <sz val="12"/>
            <rFont val="宋体"/>
            <charset val="134"/>
          </rPr>
          <t>Administrator:</t>
        </r>
        <r>
          <rPr>
            <sz val="12"/>
            <rFont val="宋体"/>
            <charset val="134"/>
          </rPr>
          <t xml:space="preserve">
12/15 上客供RFID贴纸 960pcs</t>
        </r>
      </text>
    </comment>
    <comment ref="AD185" authorId="0">
      <text>
        <r>
          <rPr>
            <b/>
            <sz val="12"/>
            <rFont val="宋体"/>
            <charset val="134"/>
          </rPr>
          <t>Administrator:</t>
        </r>
        <r>
          <rPr>
            <sz val="12"/>
            <rFont val="宋体"/>
            <charset val="134"/>
          </rPr>
          <t xml:space="preserve">
1001184 1/13 960pcs B4楼B5区</t>
        </r>
      </text>
    </comment>
    <comment ref="AG185" authorId="0">
      <text>
        <r>
          <rPr>
            <b/>
            <sz val="12"/>
            <rFont val="宋体"/>
            <charset val="134"/>
          </rPr>
          <t>Administrator:</t>
        </r>
        <r>
          <rPr>
            <sz val="12"/>
            <rFont val="宋体"/>
            <charset val="134"/>
          </rPr>
          <t xml:space="preserve">
12/15 上客供RFID贴纸 960pcs</t>
        </r>
      </text>
    </comment>
    <comment ref="AD186" authorId="0">
      <text>
        <r>
          <rPr>
            <b/>
            <sz val="12"/>
            <rFont val="宋体"/>
            <charset val="134"/>
          </rPr>
          <t>Administrator:</t>
        </r>
        <r>
          <rPr>
            <sz val="12"/>
            <rFont val="宋体"/>
            <charset val="134"/>
          </rPr>
          <t xml:space="preserve">
1001028 1/19 2500pcs 华兴一F3</t>
        </r>
      </text>
    </comment>
    <comment ref="AG186" authorId="0">
      <text>
        <r>
          <rPr>
            <b/>
            <sz val="12"/>
            <rFont val="宋体"/>
            <charset val="134"/>
          </rPr>
          <t>Administrator:</t>
        </r>
        <r>
          <rPr>
            <sz val="12"/>
            <rFont val="宋体"/>
            <charset val="134"/>
          </rPr>
          <t xml:space="preserve">
12/27 上进口商贴纸 2500pcs
      上UPC贴纸 2500pcs</t>
        </r>
      </text>
    </comment>
    <comment ref="AD187" authorId="0">
      <text>
        <r>
          <rPr>
            <b/>
            <sz val="12"/>
            <rFont val="宋体"/>
            <charset val="134"/>
          </rPr>
          <t>Administrator:</t>
        </r>
        <r>
          <rPr>
            <sz val="12"/>
            <rFont val="宋体"/>
            <charset val="134"/>
          </rPr>
          <t xml:space="preserve">
1000996 1/17 1859pcs B4楼B9区</t>
        </r>
      </text>
    </comment>
    <comment ref="AD188" authorId="0">
      <text>
        <r>
          <rPr>
            <b/>
            <sz val="12"/>
            <rFont val="宋体"/>
            <charset val="134"/>
          </rPr>
          <t>Administrator:</t>
        </r>
        <r>
          <rPr>
            <sz val="12"/>
            <rFont val="宋体"/>
            <charset val="134"/>
          </rPr>
          <t xml:space="preserve">
1001264 1/23 2080pcs B4楼A2区</t>
        </r>
      </text>
    </comment>
    <comment ref="AG188" authorId="0">
      <text>
        <r>
          <rPr>
            <b/>
            <sz val="12"/>
            <rFont val="宋体"/>
            <charset val="134"/>
          </rPr>
          <t>Administrator:</t>
        </r>
        <r>
          <rPr>
            <sz val="12"/>
            <rFont val="宋体"/>
            <charset val="134"/>
          </rPr>
          <t xml:space="preserve">
1/7 上警语贴纸 2080pcs
1/13 上客供价格贴纸 2080pcs
1/29 收到警语贴纸 2080pcs-返工用
1/29 收到客供价格贴纸 2080pcs-返工用
</t>
        </r>
      </text>
    </comment>
    <comment ref="AD189" authorId="0">
      <text>
        <r>
          <rPr>
            <b/>
            <sz val="12"/>
            <rFont val="宋体"/>
            <charset val="134"/>
          </rPr>
          <t>Administrator:</t>
        </r>
        <r>
          <rPr>
            <sz val="12"/>
            <rFont val="宋体"/>
            <charset val="134"/>
          </rPr>
          <t xml:space="preserve">
1001283 1/27 312pcs B4楼A4区</t>
        </r>
      </text>
    </comment>
    <comment ref="AG189" authorId="0">
      <text>
        <r>
          <rPr>
            <b/>
            <sz val="12"/>
            <rFont val="宋体"/>
            <charset val="134"/>
          </rPr>
          <t>Administrator:</t>
        </r>
        <r>
          <rPr>
            <sz val="12"/>
            <rFont val="宋体"/>
            <charset val="134"/>
          </rPr>
          <t xml:space="preserve">
1/14 上进口商贴纸 312pcs
     上条码贴纸 312pcs</t>
        </r>
      </text>
    </comment>
    <comment ref="AD190" authorId="0">
      <text>
        <r>
          <rPr>
            <b/>
            <sz val="12"/>
            <rFont val="宋体"/>
            <charset val="134"/>
          </rPr>
          <t>Administrator:</t>
        </r>
        <r>
          <rPr>
            <sz val="12"/>
            <rFont val="宋体"/>
            <charset val="134"/>
          </rPr>
          <t xml:space="preserve">
1001283 1/27 750pcs B4楼A4区
退回返工
1001126 1/31 750pcs B4楼B10区</t>
        </r>
      </text>
    </comment>
    <comment ref="AG190" authorId="0">
      <text>
        <r>
          <rPr>
            <b/>
            <sz val="12"/>
            <rFont val="宋体"/>
            <charset val="134"/>
          </rPr>
          <t>Administrator:</t>
        </r>
        <r>
          <rPr>
            <sz val="12"/>
            <rFont val="宋体"/>
            <charset val="134"/>
          </rPr>
          <t xml:space="preserve">
1/12 上UPC贴纸 5450pcs
189203/188248/189691/188307/190234共用</t>
        </r>
      </text>
    </comment>
    <comment ref="AD191" authorId="0">
      <text>
        <r>
          <rPr>
            <b/>
            <sz val="12"/>
            <rFont val="宋体"/>
            <charset val="134"/>
          </rPr>
          <t>Administrator:</t>
        </r>
        <r>
          <rPr>
            <sz val="12"/>
            <rFont val="宋体"/>
            <charset val="134"/>
          </rPr>
          <t xml:space="preserve">
1000996 1/17 600pcs B4楼B5区
退回返工
1001126 1/31 600pcs B4楼C10区</t>
        </r>
      </text>
    </comment>
    <comment ref="AG191" authorId="0">
      <text>
        <r>
          <rPr>
            <b/>
            <sz val="12"/>
            <rFont val="宋体"/>
            <charset val="134"/>
          </rPr>
          <t>Administrator:</t>
        </r>
        <r>
          <rPr>
            <sz val="12"/>
            <rFont val="宋体"/>
            <charset val="134"/>
          </rPr>
          <t xml:space="preserve">
1/12 上UPC贴纸 5450pcs
189203/188248/189691/188307/190234共用</t>
        </r>
      </text>
    </comment>
    <comment ref="AD192" authorId="0">
      <text>
        <r>
          <rPr>
            <b/>
            <sz val="12"/>
            <rFont val="宋体"/>
            <charset val="134"/>
          </rPr>
          <t>Administrator:</t>
        </r>
        <r>
          <rPr>
            <sz val="12"/>
            <rFont val="宋体"/>
            <charset val="134"/>
          </rPr>
          <t xml:space="preserve">
1001283 1/27 600pcs B4楼A4区</t>
        </r>
      </text>
    </comment>
    <comment ref="AG192" authorId="0">
      <text>
        <r>
          <rPr>
            <b/>
            <sz val="12"/>
            <rFont val="宋体"/>
            <charset val="134"/>
          </rPr>
          <t>Administrator:</t>
        </r>
        <r>
          <rPr>
            <sz val="12"/>
            <rFont val="宋体"/>
            <charset val="134"/>
          </rPr>
          <t xml:space="preserve">
1/12 上UPC贴纸 5450pcs
189203/188248/189691/188307/190234共用</t>
        </r>
      </text>
    </comment>
    <comment ref="AD193" authorId="0">
      <text>
        <r>
          <rPr>
            <b/>
            <sz val="12"/>
            <rFont val="宋体"/>
            <charset val="134"/>
          </rPr>
          <t>Administrator:</t>
        </r>
        <r>
          <rPr>
            <sz val="12"/>
            <rFont val="宋体"/>
            <charset val="134"/>
          </rPr>
          <t xml:space="preserve">
1001028 1/19 3000pcs华兴三B17
退回返工
1001126 1/31 3000pcs B4楼B10区</t>
        </r>
      </text>
    </comment>
    <comment ref="AG193" authorId="0">
      <text>
        <r>
          <rPr>
            <b/>
            <sz val="12"/>
            <rFont val="宋体"/>
            <charset val="134"/>
          </rPr>
          <t>Administrator:</t>
        </r>
        <r>
          <rPr>
            <sz val="12"/>
            <rFont val="宋体"/>
            <charset val="134"/>
          </rPr>
          <t xml:space="preserve">
1/12 上UPC贴纸 5450pcs
189203/188248/189691/188307/190234共用</t>
        </r>
      </text>
    </comment>
    <comment ref="AD194" authorId="0">
      <text>
        <r>
          <rPr>
            <b/>
            <sz val="12"/>
            <rFont val="宋体"/>
            <charset val="134"/>
          </rPr>
          <t>Administrator:</t>
        </r>
        <r>
          <rPr>
            <sz val="12"/>
            <rFont val="宋体"/>
            <charset val="134"/>
          </rPr>
          <t xml:space="preserve">
1000996 1/17 500pcs B4楼B5区
退回返工
1001126 1/31 500pcs B4楼C10区</t>
        </r>
      </text>
    </comment>
    <comment ref="AG194" authorId="0">
      <text>
        <r>
          <rPr>
            <b/>
            <sz val="12"/>
            <rFont val="宋体"/>
            <charset val="134"/>
          </rPr>
          <t>Administrator:</t>
        </r>
        <r>
          <rPr>
            <sz val="12"/>
            <rFont val="宋体"/>
            <charset val="134"/>
          </rPr>
          <t xml:space="preserve">
1/12 上UPC贴纸 5450pcs
189203/188248/189691/188307/190234共用</t>
        </r>
      </text>
    </comment>
    <comment ref="AD195" authorId="0">
      <text>
        <r>
          <rPr>
            <b/>
            <sz val="12"/>
            <rFont val="宋体"/>
            <charset val="134"/>
          </rPr>
          <t>Administrator:</t>
        </r>
        <r>
          <rPr>
            <sz val="12"/>
            <rFont val="宋体"/>
            <charset val="134"/>
          </rPr>
          <t xml:space="preserve">
1001283 1/27 442pcs B4楼A4区</t>
        </r>
      </text>
    </comment>
    <comment ref="AG195" authorId="0">
      <text>
        <r>
          <rPr>
            <b/>
            <sz val="12"/>
            <rFont val="宋体"/>
            <charset val="134"/>
          </rPr>
          <t>Administrator:</t>
        </r>
        <r>
          <rPr>
            <sz val="12"/>
            <rFont val="宋体"/>
            <charset val="134"/>
          </rPr>
          <t xml:space="preserve">
1/5 上进口商贴纸 442pcs
1/15 上UPC贴纸 442pcs</t>
        </r>
      </text>
    </comment>
    <comment ref="AD196" authorId="0">
      <text>
        <r>
          <rPr>
            <b/>
            <sz val="12"/>
            <rFont val="宋体"/>
            <charset val="134"/>
          </rPr>
          <t>Administrator:</t>
        </r>
        <r>
          <rPr>
            <sz val="12"/>
            <rFont val="宋体"/>
            <charset val="134"/>
          </rPr>
          <t xml:space="preserve">
1001298 1/29 1500pcs B4楼C10区</t>
        </r>
      </text>
    </comment>
    <comment ref="AG196" authorId="0">
      <text>
        <r>
          <rPr>
            <b/>
            <sz val="12"/>
            <rFont val="宋体"/>
            <charset val="134"/>
          </rPr>
          <t>Administrator:</t>
        </r>
        <r>
          <rPr>
            <sz val="12"/>
            <rFont val="宋体"/>
            <charset val="134"/>
          </rPr>
          <t xml:space="preserve">
1/12 上进口商贴纸 1500pcs
     上UPC贴纸 1500pcs</t>
        </r>
      </text>
    </comment>
    <comment ref="AD197" authorId="0">
      <text>
        <r>
          <rPr>
            <b/>
            <sz val="12"/>
            <rFont val="宋体"/>
            <charset val="134"/>
          </rPr>
          <t>Administrator:</t>
        </r>
        <r>
          <rPr>
            <sz val="12"/>
            <rFont val="宋体"/>
            <charset val="134"/>
          </rPr>
          <t xml:space="preserve">
1001113 1/30 4000pcs B4楼A8区</t>
        </r>
      </text>
    </comment>
    <comment ref="AG197" authorId="0">
      <text>
        <r>
          <rPr>
            <b/>
            <sz val="12"/>
            <rFont val="宋体"/>
            <charset val="134"/>
          </rPr>
          <t>Administrator:</t>
        </r>
        <r>
          <rPr>
            <sz val="12"/>
            <rFont val="宋体"/>
            <charset val="134"/>
          </rPr>
          <t xml:space="preserve">
1/19 上进口商贴纸 4000pcs
     上UPC贴纸 4000pcs</t>
        </r>
      </text>
    </comment>
    <comment ref="AD198" authorId="0">
      <text>
        <r>
          <rPr>
            <b/>
            <sz val="12"/>
            <rFont val="宋体"/>
            <charset val="134"/>
          </rPr>
          <t>Administrator:</t>
        </r>
        <r>
          <rPr>
            <sz val="12"/>
            <rFont val="宋体"/>
            <charset val="134"/>
          </rPr>
          <t xml:space="preserve">
1001114 1/30 960pcs B4楼B9区</t>
        </r>
      </text>
    </comment>
    <comment ref="AG198" authorId="0">
      <text>
        <r>
          <rPr>
            <b/>
            <sz val="12"/>
            <rFont val="宋体"/>
            <charset val="134"/>
          </rPr>
          <t>Administrator:</t>
        </r>
        <r>
          <rPr>
            <sz val="12"/>
            <rFont val="宋体"/>
            <charset val="134"/>
          </rPr>
          <t xml:space="preserve">
1/5 上客供RFID贴纸 960pcs</t>
        </r>
      </text>
    </comment>
    <comment ref="AD199" authorId="0">
      <text>
        <r>
          <rPr>
            <b/>
            <sz val="12"/>
            <rFont val="宋体"/>
            <charset val="134"/>
          </rPr>
          <t>Administrator:</t>
        </r>
        <r>
          <rPr>
            <sz val="12"/>
            <rFont val="宋体"/>
            <charset val="134"/>
          </rPr>
          <t xml:space="preserve">
1001113 1/30 960pcs B4楼B9区</t>
        </r>
      </text>
    </comment>
    <comment ref="AG199" authorId="0">
      <text>
        <r>
          <rPr>
            <b/>
            <sz val="12"/>
            <rFont val="宋体"/>
            <charset val="134"/>
          </rPr>
          <t>Administrator:</t>
        </r>
        <r>
          <rPr>
            <sz val="12"/>
            <rFont val="宋体"/>
            <charset val="134"/>
          </rPr>
          <t xml:space="preserve">
1/5 上客供RFID贴纸 960pcs</t>
        </r>
      </text>
    </comment>
    <comment ref="AD200" authorId="0">
      <text>
        <r>
          <rPr>
            <b/>
            <sz val="12"/>
            <rFont val="宋体"/>
            <charset val="134"/>
          </rPr>
          <t>Administrator:</t>
        </r>
        <r>
          <rPr>
            <sz val="12"/>
            <rFont val="宋体"/>
            <charset val="134"/>
          </rPr>
          <t xml:space="preserve">
1001113 1/30 960pcs B4楼B9区</t>
        </r>
      </text>
    </comment>
    <comment ref="AG200" authorId="0">
      <text>
        <r>
          <rPr>
            <b/>
            <sz val="12"/>
            <rFont val="宋体"/>
            <charset val="134"/>
          </rPr>
          <t>Administrator:</t>
        </r>
        <r>
          <rPr>
            <sz val="12"/>
            <rFont val="宋体"/>
            <charset val="134"/>
          </rPr>
          <t xml:space="preserve">
1/5 上客供RFID贴纸 960pcs</t>
        </r>
      </text>
    </comment>
    <comment ref="AD201" authorId="0">
      <text>
        <r>
          <rPr>
            <b/>
            <sz val="12"/>
            <rFont val="宋体"/>
            <charset val="134"/>
          </rPr>
          <t>Administrator:</t>
        </r>
        <r>
          <rPr>
            <sz val="12"/>
            <rFont val="宋体"/>
            <charset val="134"/>
          </rPr>
          <t xml:space="preserve">
1001114 1/30 960pcs B4楼B9区</t>
        </r>
      </text>
    </comment>
    <comment ref="AG201" authorId="0">
      <text>
        <r>
          <rPr>
            <b/>
            <sz val="12"/>
            <rFont val="宋体"/>
            <charset val="134"/>
          </rPr>
          <t>Administrator:</t>
        </r>
        <r>
          <rPr>
            <sz val="12"/>
            <rFont val="宋体"/>
            <charset val="134"/>
          </rPr>
          <t xml:space="preserve">
1/5 上客供RFID贴纸 960pcs</t>
        </r>
      </text>
    </comment>
    <comment ref="AD202" authorId="0">
      <text>
        <r>
          <rPr>
            <b/>
            <sz val="12"/>
            <rFont val="宋体"/>
            <charset val="134"/>
          </rPr>
          <t>Administrator:</t>
        </r>
        <r>
          <rPr>
            <sz val="12"/>
            <rFont val="宋体"/>
            <charset val="134"/>
          </rPr>
          <t xml:space="preserve">
1001114 1/30 960pcs B4楼B9区</t>
        </r>
      </text>
    </comment>
    <comment ref="AG202" authorId="0">
      <text>
        <r>
          <rPr>
            <b/>
            <sz val="12"/>
            <rFont val="宋体"/>
            <charset val="134"/>
          </rPr>
          <t>Administrator:</t>
        </r>
        <r>
          <rPr>
            <sz val="12"/>
            <rFont val="宋体"/>
            <charset val="134"/>
          </rPr>
          <t xml:space="preserve">
1/5 上客供RFID贴纸 960pcs</t>
        </r>
      </text>
    </comment>
    <comment ref="AD203" authorId="0">
      <text>
        <r>
          <rPr>
            <b/>
            <sz val="12"/>
            <rFont val="宋体"/>
            <charset val="134"/>
          </rPr>
          <t>Administrator:</t>
        </r>
        <r>
          <rPr>
            <sz val="12"/>
            <rFont val="宋体"/>
            <charset val="134"/>
          </rPr>
          <t xml:space="preserve">
1001113 1/30 960pcs B4楼B9区</t>
        </r>
      </text>
    </comment>
    <comment ref="AG203" authorId="0">
      <text>
        <r>
          <rPr>
            <b/>
            <sz val="12"/>
            <rFont val="宋体"/>
            <charset val="134"/>
          </rPr>
          <t>Administrator:</t>
        </r>
        <r>
          <rPr>
            <sz val="12"/>
            <rFont val="宋体"/>
            <charset val="134"/>
          </rPr>
          <t xml:space="preserve">
1/5 上客供RFID贴纸 960pcs</t>
        </r>
      </text>
    </comment>
    <comment ref="AD204" authorId="0">
      <text>
        <r>
          <rPr>
            <b/>
            <sz val="12"/>
            <rFont val="宋体"/>
            <charset val="134"/>
          </rPr>
          <t>Administrator:</t>
        </r>
        <r>
          <rPr>
            <sz val="12"/>
            <rFont val="宋体"/>
            <charset val="134"/>
          </rPr>
          <t xml:space="preserve">
1001148 2/3 504pcs B4楼B1区</t>
        </r>
      </text>
    </comment>
    <comment ref="AG204" authorId="0">
      <text>
        <r>
          <rPr>
            <b/>
            <sz val="12"/>
            <rFont val="宋体"/>
            <charset val="134"/>
          </rPr>
          <t>Administrator:</t>
        </r>
        <r>
          <rPr>
            <sz val="12"/>
            <rFont val="宋体"/>
            <charset val="134"/>
          </rPr>
          <t xml:space="preserve">
12/31 上环保标贴纸 504pcs
1/26 上亚马逊外箱贴纸 42pcs</t>
        </r>
      </text>
    </comment>
    <comment ref="AD205" authorId="0">
      <text>
        <r>
          <rPr>
            <b/>
            <sz val="12"/>
            <rFont val="宋体"/>
            <charset val="134"/>
          </rPr>
          <t>Administrator:</t>
        </r>
        <r>
          <rPr>
            <sz val="12"/>
            <rFont val="宋体"/>
            <charset val="134"/>
          </rPr>
          <t xml:space="preserve">
1001113 1/30 960pcs B4楼B9区</t>
        </r>
      </text>
    </comment>
    <comment ref="AG205" authorId="0">
      <text>
        <r>
          <rPr>
            <b/>
            <sz val="12"/>
            <rFont val="宋体"/>
            <charset val="134"/>
          </rPr>
          <t>Administrator:</t>
        </r>
        <r>
          <rPr>
            <sz val="12"/>
            <rFont val="宋体"/>
            <charset val="134"/>
          </rPr>
          <t xml:space="preserve">
1/5 上客供RFID贴纸 960pcs</t>
        </r>
      </text>
    </comment>
    <comment ref="AD206" authorId="0">
      <text>
        <r>
          <rPr>
            <b/>
            <sz val="12"/>
            <rFont val="宋体"/>
            <charset val="134"/>
          </rPr>
          <t>Administrator:</t>
        </r>
        <r>
          <rPr>
            <sz val="12"/>
            <rFont val="宋体"/>
            <charset val="134"/>
          </rPr>
          <t xml:space="preserve">
1001113 1/30 960pcs B4楼B9区</t>
        </r>
      </text>
    </comment>
    <comment ref="AG206" authorId="0">
      <text>
        <r>
          <rPr>
            <b/>
            <sz val="12"/>
            <rFont val="宋体"/>
            <charset val="134"/>
          </rPr>
          <t>Administrator:</t>
        </r>
        <r>
          <rPr>
            <sz val="12"/>
            <rFont val="宋体"/>
            <charset val="134"/>
          </rPr>
          <t xml:space="preserve">
1/5 上客供RFID贴纸 960pcs</t>
        </r>
      </text>
    </comment>
    <comment ref="AD207" authorId="0">
      <text>
        <r>
          <rPr>
            <b/>
            <sz val="12"/>
            <rFont val="宋体"/>
            <charset val="134"/>
          </rPr>
          <t>Administrator:</t>
        </r>
        <r>
          <rPr>
            <sz val="12"/>
            <rFont val="宋体"/>
            <charset val="134"/>
          </rPr>
          <t xml:space="preserve">
1001111 1/29 1508pcs B4楼A10区</t>
        </r>
      </text>
    </comment>
    <comment ref="AG207" authorId="0">
      <text>
        <r>
          <rPr>
            <b/>
            <sz val="12"/>
            <rFont val="宋体"/>
            <charset val="134"/>
          </rPr>
          <t>Administrator:</t>
        </r>
        <r>
          <rPr>
            <sz val="12"/>
            <rFont val="宋体"/>
            <charset val="134"/>
          </rPr>
          <t xml:space="preserve">
1/13 上白色防盗贴纸 1508pcs
1/26 上KM外箱贴纸 116pcs</t>
        </r>
      </text>
    </comment>
    <comment ref="AD208" authorId="0">
      <text>
        <r>
          <rPr>
            <b/>
            <sz val="12"/>
            <rFont val="宋体"/>
            <charset val="134"/>
          </rPr>
          <t>Administrator:</t>
        </r>
        <r>
          <rPr>
            <sz val="12"/>
            <rFont val="宋体"/>
            <charset val="134"/>
          </rPr>
          <t xml:space="preserve">
1001155 2/9 1250pcs 华兴三A32</t>
        </r>
      </text>
    </comment>
    <comment ref="AG208" authorId="0">
      <text>
        <r>
          <rPr>
            <b/>
            <sz val="12"/>
            <rFont val="宋体"/>
            <charset val="134"/>
          </rPr>
          <t>Administrator:</t>
        </r>
        <r>
          <rPr>
            <sz val="12"/>
            <rFont val="宋体"/>
            <charset val="134"/>
          </rPr>
          <t xml:space="preserve">
1/21 上进口商贴纸1250pcs
      价标贴纸1250pcs
2/3 上客供mu贴纸（条码贴） 25pcs
    上客供ASN贴纸 25pcs</t>
        </r>
      </text>
    </comment>
    <comment ref="AD209" authorId="0">
      <text>
        <r>
          <rPr>
            <b/>
            <sz val="12"/>
            <rFont val="宋体"/>
            <charset val="134"/>
          </rPr>
          <t>Administrator:</t>
        </r>
        <r>
          <rPr>
            <sz val="12"/>
            <rFont val="宋体"/>
            <charset val="134"/>
          </rPr>
          <t xml:space="preserve">
1001124 1/31 960pcs B4楼B9区</t>
        </r>
      </text>
    </comment>
    <comment ref="AG209" authorId="0">
      <text>
        <r>
          <rPr>
            <b/>
            <sz val="12"/>
            <rFont val="宋体"/>
            <charset val="134"/>
          </rPr>
          <t>Administrator:</t>
        </r>
        <r>
          <rPr>
            <sz val="12"/>
            <rFont val="宋体"/>
            <charset val="134"/>
          </rPr>
          <t xml:space="preserve">
1/26 上客供RFID贴纸 960pcs</t>
        </r>
      </text>
    </comment>
    <comment ref="AD210" authorId="0">
      <text>
        <r>
          <rPr>
            <b/>
            <sz val="12"/>
            <rFont val="宋体"/>
            <charset val="134"/>
          </rPr>
          <t>Administrator:</t>
        </r>
        <r>
          <rPr>
            <sz val="12"/>
            <rFont val="宋体"/>
            <charset val="134"/>
          </rPr>
          <t xml:space="preserve">
1001124 1/31 960pcs B4楼B9区</t>
        </r>
      </text>
    </comment>
    <comment ref="AG210" authorId="0">
      <text>
        <r>
          <rPr>
            <b/>
            <sz val="12"/>
            <rFont val="宋体"/>
            <charset val="134"/>
          </rPr>
          <t>Administrator:</t>
        </r>
        <r>
          <rPr>
            <sz val="12"/>
            <rFont val="宋体"/>
            <charset val="134"/>
          </rPr>
          <t xml:space="preserve">
1/26 上客供RFID贴纸 960pcs</t>
        </r>
      </text>
    </comment>
    <comment ref="AD211" authorId="0">
      <text>
        <r>
          <rPr>
            <b/>
            <sz val="12"/>
            <rFont val="宋体"/>
            <charset val="134"/>
          </rPr>
          <t>Administrator:</t>
        </r>
        <r>
          <rPr>
            <sz val="12"/>
            <rFont val="宋体"/>
            <charset val="134"/>
          </rPr>
          <t xml:space="preserve">
1001124 1/31 960pcs B4楼B9区</t>
        </r>
      </text>
    </comment>
    <comment ref="AG211" authorId="0">
      <text>
        <r>
          <rPr>
            <b/>
            <sz val="12"/>
            <rFont val="宋体"/>
            <charset val="134"/>
          </rPr>
          <t>Administrator:</t>
        </r>
        <r>
          <rPr>
            <sz val="12"/>
            <rFont val="宋体"/>
            <charset val="134"/>
          </rPr>
          <t xml:space="preserve">
1/26 上客供RFID贴纸 960pcs</t>
        </r>
      </text>
    </comment>
    <comment ref="AD212" authorId="0">
      <text>
        <r>
          <rPr>
            <b/>
            <sz val="12"/>
            <rFont val="宋体"/>
            <charset val="134"/>
          </rPr>
          <t>Administrator:</t>
        </r>
        <r>
          <rPr>
            <sz val="12"/>
            <rFont val="宋体"/>
            <charset val="134"/>
          </rPr>
          <t xml:space="preserve">
1001153 2/7 6000pcs B4楼C7区</t>
        </r>
      </text>
    </comment>
    <comment ref="AG212" authorId="0">
      <text>
        <r>
          <rPr>
            <b/>
            <sz val="12"/>
            <rFont val="宋体"/>
            <charset val="134"/>
          </rPr>
          <t>Administrator:</t>
        </r>
        <r>
          <rPr>
            <sz val="12"/>
            <rFont val="宋体"/>
            <charset val="134"/>
          </rPr>
          <t xml:space="preserve">
1/26 上空白贴纸 12000pcs</t>
        </r>
      </text>
    </comment>
    <comment ref="AD213" authorId="0">
      <text>
        <r>
          <rPr>
            <b/>
            <sz val="12"/>
            <rFont val="宋体"/>
            <charset val="134"/>
          </rPr>
          <t>Administrator:</t>
        </r>
        <r>
          <rPr>
            <sz val="12"/>
            <rFont val="宋体"/>
            <charset val="134"/>
          </rPr>
          <t xml:space="preserve">
1001153 2/7 4404pcs B4楼C7区</t>
        </r>
      </text>
    </comment>
    <comment ref="AG213" authorId="0">
      <text>
        <r>
          <rPr>
            <b/>
            <sz val="12"/>
            <rFont val="宋体"/>
            <charset val="134"/>
          </rPr>
          <t>Administrator:</t>
        </r>
        <r>
          <rPr>
            <sz val="12"/>
            <rFont val="宋体"/>
            <charset val="134"/>
          </rPr>
          <t xml:space="preserve">
1/30 上客供亚马逊外箱贴纸 367pcs
1/30 上空白贴纸 8808pcs</t>
        </r>
      </text>
    </comment>
    <comment ref="AD214" authorId="0">
      <text>
        <r>
          <rPr>
            <b/>
            <sz val="12"/>
            <rFont val="宋体"/>
            <charset val="134"/>
          </rPr>
          <t>Administrator:</t>
        </r>
        <r>
          <rPr>
            <sz val="12"/>
            <rFont val="宋体"/>
            <charset val="134"/>
          </rPr>
          <t xml:space="preserve">
1001155 2/9 12pcs 华兴三A32</t>
        </r>
      </text>
    </comment>
    <comment ref="AG214" authorId="0">
      <text>
        <r>
          <rPr>
            <b/>
            <sz val="12"/>
            <rFont val="宋体"/>
            <charset val="134"/>
          </rPr>
          <t>Administrator:</t>
        </r>
        <r>
          <rPr>
            <sz val="12"/>
            <rFont val="宋体"/>
            <charset val="134"/>
          </rPr>
          <t xml:space="preserve">
1/26 上空白贴纸 72pcs
1/30 上客供亚马逊外箱贴纸1pcs</t>
        </r>
      </text>
    </comment>
    <comment ref="AD215" authorId="0">
      <text>
        <r>
          <rPr>
            <b/>
            <sz val="12"/>
            <rFont val="宋体"/>
            <charset val="134"/>
          </rPr>
          <t>Administrator:</t>
        </r>
        <r>
          <rPr>
            <sz val="12"/>
            <rFont val="宋体"/>
            <charset val="134"/>
          </rPr>
          <t xml:space="preserve">
1001155 2/9 12pcs 华兴三A32</t>
        </r>
      </text>
    </comment>
    <comment ref="AG215" authorId="0">
      <text>
        <r>
          <rPr>
            <b/>
            <sz val="12"/>
            <rFont val="宋体"/>
            <charset val="134"/>
          </rPr>
          <t>Administrator:</t>
        </r>
        <r>
          <rPr>
            <sz val="12"/>
            <rFont val="宋体"/>
            <charset val="134"/>
          </rPr>
          <t xml:space="preserve">
1/26 上空白贴纸 72pcs
1/30 上客供亚马逊外箱贴纸1pcs</t>
        </r>
      </text>
    </comment>
    <comment ref="AD216" authorId="0">
      <text>
        <r>
          <rPr>
            <b/>
            <sz val="12"/>
            <rFont val="宋体"/>
            <charset val="134"/>
          </rPr>
          <t>Administrator:</t>
        </r>
        <r>
          <rPr>
            <sz val="12"/>
            <rFont val="宋体"/>
            <charset val="134"/>
          </rPr>
          <t xml:space="preserve">
1001155 2/9 12pcs 华兴三A32</t>
        </r>
      </text>
    </comment>
    <comment ref="AG216" authorId="0">
      <text>
        <r>
          <rPr>
            <b/>
            <sz val="12"/>
            <rFont val="宋体"/>
            <charset val="134"/>
          </rPr>
          <t>Administrator:</t>
        </r>
        <r>
          <rPr>
            <sz val="12"/>
            <rFont val="宋体"/>
            <charset val="134"/>
          </rPr>
          <t xml:space="preserve">
1/26 上空白贴纸 72pcs
1/30 上客供亚马逊外箱贴纸1pcs</t>
        </r>
      </text>
    </comment>
    <comment ref="AD217" authorId="0">
      <text>
        <r>
          <rPr>
            <b/>
            <sz val="12"/>
            <rFont val="宋体"/>
            <charset val="134"/>
          </rPr>
          <t>Administrator:</t>
        </r>
        <r>
          <rPr>
            <sz val="12"/>
            <rFont val="宋体"/>
            <charset val="134"/>
          </rPr>
          <t xml:space="preserve">
1001124 1/31 960pcs B4楼B9区</t>
        </r>
      </text>
    </comment>
    <comment ref="AG217" authorId="0">
      <text>
        <r>
          <rPr>
            <b/>
            <sz val="12"/>
            <rFont val="宋体"/>
            <charset val="134"/>
          </rPr>
          <t>Administrator:</t>
        </r>
        <r>
          <rPr>
            <sz val="12"/>
            <rFont val="宋体"/>
            <charset val="134"/>
          </rPr>
          <t xml:space="preserve">
1/26 上客供RFID贴纸 960pcs</t>
        </r>
      </text>
    </comment>
    <comment ref="AD218" authorId="0">
      <text>
        <r>
          <rPr>
            <b/>
            <sz val="12"/>
            <rFont val="宋体"/>
            <charset val="134"/>
          </rPr>
          <t>Administrator:</t>
        </r>
        <r>
          <rPr>
            <sz val="12"/>
            <rFont val="宋体"/>
            <charset val="134"/>
          </rPr>
          <t xml:space="preserve">
1001141 2/3 960pcs B4楼B1区</t>
        </r>
      </text>
    </comment>
    <comment ref="AG218" authorId="0">
      <text>
        <r>
          <rPr>
            <b/>
            <sz val="12"/>
            <rFont val="宋体"/>
            <charset val="134"/>
          </rPr>
          <t>Administrator:</t>
        </r>
        <r>
          <rPr>
            <sz val="12"/>
            <rFont val="宋体"/>
            <charset val="134"/>
          </rPr>
          <t xml:space="preserve">
1/26 上客供RFID贴纸 960pcs</t>
        </r>
      </text>
    </comment>
    <comment ref="AD219" authorId="0">
      <text>
        <r>
          <rPr>
            <b/>
            <sz val="12"/>
            <rFont val="宋体"/>
            <charset val="134"/>
          </rPr>
          <t>Administrator:</t>
        </r>
        <r>
          <rPr>
            <sz val="12"/>
            <rFont val="宋体"/>
            <charset val="134"/>
          </rPr>
          <t xml:space="preserve">
1001124 1/31 960pcs B4楼B9区</t>
        </r>
      </text>
    </comment>
    <comment ref="AG219" authorId="0">
      <text>
        <r>
          <rPr>
            <b/>
            <sz val="12"/>
            <rFont val="宋体"/>
            <charset val="134"/>
          </rPr>
          <t>Administrator:</t>
        </r>
        <r>
          <rPr>
            <sz val="12"/>
            <rFont val="宋体"/>
            <charset val="134"/>
          </rPr>
          <t xml:space="preserve">
1/26 上客供RFID贴纸 960pcs</t>
        </r>
      </text>
    </comment>
    <comment ref="AD220" authorId="0">
      <text>
        <r>
          <rPr>
            <b/>
            <sz val="12"/>
            <rFont val="宋体"/>
            <charset val="134"/>
          </rPr>
          <t>Administrator:</t>
        </r>
        <r>
          <rPr>
            <sz val="12"/>
            <rFont val="宋体"/>
            <charset val="134"/>
          </rPr>
          <t xml:space="preserve">
1001141 2/3 960pcs B4楼B1区</t>
        </r>
      </text>
    </comment>
    <comment ref="AG220" authorId="0">
      <text>
        <r>
          <rPr>
            <b/>
            <sz val="12"/>
            <rFont val="宋体"/>
            <charset val="134"/>
          </rPr>
          <t>Administrator:</t>
        </r>
        <r>
          <rPr>
            <sz val="12"/>
            <rFont val="宋体"/>
            <charset val="134"/>
          </rPr>
          <t xml:space="preserve">
1/26 上客供RFID贴纸 960pcs</t>
        </r>
      </text>
    </comment>
    <comment ref="AG221" authorId="0">
      <text>
        <r>
          <rPr>
            <b/>
            <sz val="12"/>
            <rFont val="宋体"/>
            <charset val="134"/>
          </rPr>
          <t>Administrator:</t>
        </r>
        <r>
          <rPr>
            <sz val="12"/>
            <rFont val="宋体"/>
            <charset val="134"/>
          </rPr>
          <t xml:space="preserve">
11/21 上进口商贴纸 1508pcs
消耗182440的纸箱和贴纸
1/26 上进口商贴纸 1508pcs</t>
        </r>
      </text>
    </comment>
    <comment ref="AG225" authorId="0">
      <text>
        <r>
          <rPr>
            <b/>
            <sz val="12"/>
            <rFont val="宋体"/>
            <charset val="134"/>
          </rPr>
          <t>Administrator:</t>
        </r>
        <r>
          <rPr>
            <sz val="12"/>
            <rFont val="宋体"/>
            <charset val="134"/>
          </rPr>
          <t xml:space="preserve">
2/5 上进口商贴纸 1000pcs
    上UPC贴纸 1000pcs</t>
        </r>
      </text>
    </comment>
    <comment ref="AG226" authorId="0">
      <text>
        <r>
          <rPr>
            <b/>
            <sz val="12"/>
            <rFont val="宋体"/>
            <charset val="134"/>
          </rPr>
          <t>Administrator:</t>
        </r>
        <r>
          <rPr>
            <sz val="12"/>
            <rFont val="宋体"/>
            <charset val="134"/>
          </rPr>
          <t xml:space="preserve">
2/3 上亚马逊外箱贴纸 42pcs
2/9 上环保标贴纸 504pcs</t>
        </r>
      </text>
    </comment>
    <comment ref="AG227" authorId="0">
      <text>
        <r>
          <rPr>
            <b/>
            <sz val="12"/>
            <rFont val="宋体"/>
            <charset val="134"/>
          </rPr>
          <t>Administrator:</t>
        </r>
        <r>
          <rPr>
            <sz val="12"/>
            <rFont val="宋体"/>
            <charset val="134"/>
          </rPr>
          <t xml:space="preserve">
1/26 上客供RFID贴纸 960pcs</t>
        </r>
      </text>
    </comment>
    <comment ref="AG228" authorId="0">
      <text>
        <r>
          <rPr>
            <b/>
            <sz val="12"/>
            <rFont val="宋体"/>
            <charset val="134"/>
          </rPr>
          <t>Administrator:</t>
        </r>
        <r>
          <rPr>
            <sz val="12"/>
            <rFont val="宋体"/>
            <charset val="134"/>
          </rPr>
          <t xml:space="preserve">
1/26 上客供RFID贴纸 960pcs</t>
        </r>
      </text>
    </comment>
  </commentList>
</comments>
</file>

<file path=xl/comments3.xml><?xml version="1.0" encoding="utf-8"?>
<comments xmlns="http://schemas.openxmlformats.org/spreadsheetml/2006/main">
  <authors>
    <author>Administrator</author>
  </authors>
  <commentList>
    <comment ref="AD2" authorId="0">
      <text>
        <r>
          <rPr>
            <b/>
            <sz val="12"/>
            <rFont val="宋体"/>
            <charset val="134"/>
          </rPr>
          <t>Administrator:</t>
        </r>
        <r>
          <rPr>
            <sz val="12"/>
            <rFont val="宋体"/>
            <charset val="134"/>
          </rPr>
          <t xml:space="preserve">
0000617 12/25   52pcs 华兴三B15
0000627 12/25 3068pcs 华兴三B15</t>
        </r>
      </text>
    </comment>
    <comment ref="AG2" authorId="0">
      <text>
        <r>
          <rPr>
            <b/>
            <sz val="12"/>
            <rFont val="宋体"/>
            <charset val="134"/>
          </rPr>
          <t>Administrator:</t>
        </r>
        <r>
          <rPr>
            <sz val="12"/>
            <rFont val="宋体"/>
            <charset val="134"/>
          </rPr>
          <t xml:space="preserve">
12/3 上客户EAN条码贴纸 3120pcs</t>
        </r>
      </text>
    </comment>
    <comment ref="AD3" authorId="0">
      <text>
        <r>
          <rPr>
            <b/>
            <sz val="12"/>
            <rFont val="宋体"/>
            <charset val="134"/>
          </rPr>
          <t>Administrator:</t>
        </r>
        <r>
          <rPr>
            <sz val="12"/>
            <rFont val="宋体"/>
            <charset val="134"/>
          </rPr>
          <t xml:space="preserve">
0000555 12/28 2988pcs 华兴二A6
0000545 12/30  12pcs  华兴二A6</t>
        </r>
      </text>
    </comment>
    <comment ref="AG3" authorId="0">
      <text>
        <r>
          <rPr>
            <b/>
            <sz val="12"/>
            <rFont val="宋体"/>
            <charset val="134"/>
          </rPr>
          <t>Administrator:</t>
        </r>
        <r>
          <rPr>
            <sz val="12"/>
            <rFont val="宋体"/>
            <charset val="134"/>
          </rPr>
          <t xml:space="preserve">
11/21 上客供价格贴纸 3150pcs</t>
        </r>
      </text>
    </comment>
    <comment ref="AD4" authorId="0">
      <text>
        <r>
          <rPr>
            <b/>
            <sz val="12"/>
            <rFont val="宋体"/>
            <charset val="134"/>
          </rPr>
          <t>Administrator:</t>
        </r>
        <r>
          <rPr>
            <sz val="12"/>
            <rFont val="宋体"/>
            <charset val="134"/>
          </rPr>
          <t xml:space="preserve">
0000617 12/25 15700pcs 华兴三B15</t>
        </r>
      </text>
    </comment>
    <comment ref="AG4" authorId="0">
      <text>
        <r>
          <rPr>
            <b/>
            <sz val="12"/>
            <rFont val="宋体"/>
            <charset val="134"/>
          </rPr>
          <t>Administrator:</t>
        </r>
        <r>
          <rPr>
            <sz val="12"/>
            <rFont val="宋体"/>
            <charset val="134"/>
          </rPr>
          <t xml:space="preserve">
12/10 上UPC条码贴纸 15700pcs
      上进口商贴纸 15700pcs</t>
        </r>
      </text>
    </comment>
    <comment ref="AD5" authorId="0">
      <text>
        <r>
          <rPr>
            <b/>
            <sz val="12"/>
            <rFont val="宋体"/>
            <charset val="134"/>
          </rPr>
          <t>Administrator:</t>
        </r>
        <r>
          <rPr>
            <sz val="12"/>
            <rFont val="宋体"/>
            <charset val="134"/>
          </rPr>
          <t xml:space="preserve">
0001711 11/22 25560pcs 华兴二A19
0001729 11/26   24pcs  华兴二A19
0001711 11/22 8528pcs 华兴二B14
0000645 12/31 8520pcs 华兴二B5
 备品8pcs</t>
        </r>
      </text>
    </comment>
    <comment ref="AG5" authorId="0">
      <text>
        <r>
          <rPr>
            <b/>
            <sz val="12"/>
            <rFont val="宋体"/>
            <charset val="134"/>
          </rPr>
          <t>Administrator:</t>
        </r>
        <r>
          <rPr>
            <sz val="12"/>
            <rFont val="宋体"/>
            <charset val="134"/>
          </rPr>
          <t xml:space="preserve">
12/10 上WIC贴纸 8528pcs</t>
        </r>
      </text>
    </comment>
    <comment ref="AD6" authorId="0">
      <text>
        <r>
          <rPr>
            <b/>
            <sz val="12"/>
            <rFont val="宋体"/>
            <charset val="134"/>
          </rPr>
          <t>Administrator:</t>
        </r>
        <r>
          <rPr>
            <sz val="12"/>
            <rFont val="宋体"/>
            <charset val="134"/>
          </rPr>
          <t xml:space="preserve">
0000934 12/31 3200pcs 华兴三B14</t>
        </r>
      </text>
    </comment>
    <comment ref="AG6" authorId="0">
      <text>
        <r>
          <rPr>
            <b/>
            <sz val="12"/>
            <rFont val="宋体"/>
            <charset val="134"/>
          </rPr>
          <t>Administrator:</t>
        </r>
        <r>
          <rPr>
            <sz val="12"/>
            <rFont val="宋体"/>
            <charset val="134"/>
          </rPr>
          <t xml:space="preserve">
12/12 上进口商贴纸 3200pcs</t>
        </r>
      </text>
    </comment>
    <comment ref="AD7" authorId="0">
      <text>
        <r>
          <rPr>
            <b/>
            <sz val="12"/>
            <rFont val="宋体"/>
            <charset val="134"/>
          </rPr>
          <t>Administrator:</t>
        </r>
        <r>
          <rPr>
            <sz val="12"/>
            <rFont val="宋体"/>
            <charset val="134"/>
          </rPr>
          <t xml:space="preserve">
0000934 12/31 250pcs 华兴三B14</t>
        </r>
      </text>
    </comment>
    <comment ref="AD8" authorId="0">
      <text>
        <r>
          <rPr>
            <b/>
            <sz val="12"/>
            <rFont val="宋体"/>
            <charset val="134"/>
          </rPr>
          <t>Administrator:</t>
        </r>
        <r>
          <rPr>
            <sz val="12"/>
            <rFont val="宋体"/>
            <charset val="134"/>
          </rPr>
          <t xml:space="preserve">
0000934 12/31 1092pcs 华兴三B13</t>
        </r>
      </text>
    </comment>
    <comment ref="AD9" authorId="0">
      <text>
        <r>
          <rPr>
            <b/>
            <sz val="12"/>
            <rFont val="宋体"/>
            <charset val="134"/>
          </rPr>
          <t>Administrator:</t>
        </r>
        <r>
          <rPr>
            <sz val="12"/>
            <rFont val="宋体"/>
            <charset val="134"/>
          </rPr>
          <t xml:space="preserve">
0000933 12/31 3456pcs 华兴三B4</t>
        </r>
      </text>
    </comment>
    <comment ref="AG9" authorId="0">
      <text>
        <r>
          <rPr>
            <b/>
            <sz val="12"/>
            <rFont val="宋体"/>
            <charset val="134"/>
          </rPr>
          <t>Administrator:</t>
        </r>
        <r>
          <rPr>
            <sz val="12"/>
            <rFont val="宋体"/>
            <charset val="134"/>
          </rPr>
          <t xml:space="preserve">
12/19 上客供RFID贴纸 3456pcs</t>
        </r>
      </text>
    </comment>
    <comment ref="AD10" authorId="0">
      <text>
        <r>
          <rPr>
            <b/>
            <sz val="12"/>
            <rFont val="宋体"/>
            <charset val="134"/>
          </rPr>
          <t>Administrator:</t>
        </r>
        <r>
          <rPr>
            <sz val="12"/>
            <rFont val="宋体"/>
            <charset val="134"/>
          </rPr>
          <t xml:space="preserve">
0000933 12/31 3456pcs  华兴三B4
</t>
        </r>
      </text>
    </comment>
    <comment ref="AG10" authorId="0">
      <text>
        <r>
          <rPr>
            <b/>
            <sz val="12"/>
            <rFont val="宋体"/>
            <charset val="134"/>
          </rPr>
          <t>Administrator:</t>
        </r>
        <r>
          <rPr>
            <sz val="12"/>
            <rFont val="宋体"/>
            <charset val="134"/>
          </rPr>
          <t xml:space="preserve">
12/19 上客供RFID贴纸 3456pcs</t>
        </r>
      </text>
    </comment>
    <comment ref="AD11" authorId="0">
      <text>
        <r>
          <rPr>
            <b/>
            <sz val="12"/>
            <rFont val="宋体"/>
            <charset val="134"/>
          </rPr>
          <t>Administrator:</t>
        </r>
        <r>
          <rPr>
            <sz val="12"/>
            <rFont val="宋体"/>
            <charset val="134"/>
          </rPr>
          <t xml:space="preserve">
0000933 12/31 5760pcs  华兴三B4
</t>
        </r>
      </text>
    </comment>
    <comment ref="AG11" authorId="0">
      <text>
        <r>
          <rPr>
            <b/>
            <sz val="12"/>
            <rFont val="宋体"/>
            <charset val="134"/>
          </rPr>
          <t>Administrator:</t>
        </r>
        <r>
          <rPr>
            <sz val="12"/>
            <rFont val="宋体"/>
            <charset val="134"/>
          </rPr>
          <t xml:space="preserve">
12/19 上客供RFID贴纸 5760pcs</t>
        </r>
      </text>
    </comment>
    <comment ref="AD12" authorId="0">
      <text>
        <r>
          <rPr>
            <b/>
            <sz val="12"/>
            <rFont val="宋体"/>
            <charset val="134"/>
          </rPr>
          <t>Administrator:</t>
        </r>
        <r>
          <rPr>
            <sz val="12"/>
            <rFont val="宋体"/>
            <charset val="134"/>
          </rPr>
          <t xml:space="preserve">
0000933 12/31 1152pcs  华兴三B4
</t>
        </r>
      </text>
    </comment>
    <comment ref="AG12" authorId="0">
      <text>
        <r>
          <rPr>
            <b/>
            <sz val="12"/>
            <rFont val="宋体"/>
            <charset val="134"/>
          </rPr>
          <t>Administrator:</t>
        </r>
        <r>
          <rPr>
            <sz val="12"/>
            <rFont val="宋体"/>
            <charset val="134"/>
          </rPr>
          <t xml:space="preserve">
12/19 上客供RFID贴纸 1152pcs</t>
        </r>
      </text>
    </comment>
    <comment ref="AD13" authorId="0">
      <text>
        <r>
          <rPr>
            <b/>
            <sz val="12"/>
            <rFont val="宋体"/>
            <charset val="134"/>
          </rPr>
          <t>Administrator:</t>
        </r>
        <r>
          <rPr>
            <sz val="12"/>
            <rFont val="宋体"/>
            <charset val="134"/>
          </rPr>
          <t xml:space="preserve">
0000933 12/31 4608pcs  华兴三B4
</t>
        </r>
      </text>
    </comment>
    <comment ref="AG13" authorId="0">
      <text>
        <r>
          <rPr>
            <b/>
            <sz val="12"/>
            <rFont val="宋体"/>
            <charset val="134"/>
          </rPr>
          <t>Administrator:</t>
        </r>
        <r>
          <rPr>
            <sz val="12"/>
            <rFont val="宋体"/>
            <charset val="134"/>
          </rPr>
          <t xml:space="preserve">
12/19 上客供RFID贴纸 4608pcs</t>
        </r>
      </text>
    </comment>
    <comment ref="AD14" authorId="0">
      <text>
        <r>
          <rPr>
            <b/>
            <sz val="12"/>
            <rFont val="宋体"/>
            <charset val="134"/>
          </rPr>
          <t>Administrator:</t>
        </r>
        <r>
          <rPr>
            <sz val="12"/>
            <rFont val="宋体"/>
            <charset val="134"/>
          </rPr>
          <t xml:space="preserve">
0000933 12/31 5760pcs  华兴三B4
</t>
        </r>
      </text>
    </comment>
    <comment ref="AG14" authorId="0">
      <text>
        <r>
          <rPr>
            <b/>
            <sz val="12"/>
            <rFont val="宋体"/>
            <charset val="134"/>
          </rPr>
          <t>Administrator:</t>
        </r>
        <r>
          <rPr>
            <sz val="12"/>
            <rFont val="宋体"/>
            <charset val="134"/>
          </rPr>
          <t xml:space="preserve">
12/19 上客供RFID贴纸 5760pcs</t>
        </r>
      </text>
    </comment>
    <comment ref="AD15" authorId="0">
      <text>
        <r>
          <rPr>
            <b/>
            <sz val="12"/>
            <rFont val="宋体"/>
            <charset val="134"/>
          </rPr>
          <t>Administrator:</t>
        </r>
        <r>
          <rPr>
            <sz val="12"/>
            <rFont val="宋体"/>
            <charset val="134"/>
          </rPr>
          <t xml:space="preserve">
0000933 12/31 2304pcs  华兴三B4
</t>
        </r>
      </text>
    </comment>
    <comment ref="AG15" authorId="0">
      <text>
        <r>
          <rPr>
            <b/>
            <sz val="12"/>
            <rFont val="宋体"/>
            <charset val="134"/>
          </rPr>
          <t>Administrator:</t>
        </r>
        <r>
          <rPr>
            <sz val="12"/>
            <rFont val="宋体"/>
            <charset val="134"/>
          </rPr>
          <t xml:space="preserve">
12/19 上客供RFID贴纸 2304pcs</t>
        </r>
      </text>
    </comment>
    <comment ref="AD16" authorId="0">
      <text>
        <r>
          <rPr>
            <b/>
            <sz val="12"/>
            <rFont val="宋体"/>
            <charset val="134"/>
          </rPr>
          <t>Administrator:</t>
        </r>
        <r>
          <rPr>
            <sz val="12"/>
            <rFont val="宋体"/>
            <charset val="134"/>
          </rPr>
          <t xml:space="preserve">
0000922 1/4 2000pcs 华兴三B14</t>
        </r>
      </text>
    </comment>
    <comment ref="AG16" authorId="0">
      <text>
        <r>
          <rPr>
            <b/>
            <sz val="12"/>
            <rFont val="宋体"/>
            <charset val="134"/>
          </rPr>
          <t>Administrator:</t>
        </r>
        <r>
          <rPr>
            <sz val="12"/>
            <rFont val="宋体"/>
            <charset val="134"/>
          </rPr>
          <t xml:space="preserve">
12/17 上进口商贴纸 2000pcs</t>
        </r>
      </text>
    </comment>
    <comment ref="AG17" authorId="0">
      <text>
        <r>
          <rPr>
            <b/>
            <sz val="12"/>
            <rFont val="宋体"/>
            <charset val="134"/>
          </rPr>
          <t>Administrator:</t>
        </r>
        <r>
          <rPr>
            <sz val="12"/>
            <rFont val="宋体"/>
            <charset val="134"/>
          </rPr>
          <t xml:space="preserve">
12/10 上WIC贴纸 8528pcs</t>
        </r>
      </text>
    </comment>
    <comment ref="AD18" authorId="0">
      <text>
        <r>
          <rPr>
            <b/>
            <sz val="12"/>
            <rFont val="宋体"/>
            <charset val="134"/>
          </rPr>
          <t>Administrator:</t>
        </r>
        <r>
          <rPr>
            <sz val="12"/>
            <rFont val="宋体"/>
            <charset val="134"/>
          </rPr>
          <t xml:space="preserve">
0000996 1/8 1976pcs 华兴三B14
0001024 1/8  52pcs  华兴三B14</t>
        </r>
      </text>
    </comment>
    <comment ref="AG18" authorId="0">
      <text>
        <r>
          <rPr>
            <b/>
            <sz val="12"/>
            <rFont val="宋体"/>
            <charset val="134"/>
          </rPr>
          <t>Administrator:</t>
        </r>
        <r>
          <rPr>
            <sz val="12"/>
            <rFont val="宋体"/>
            <charset val="134"/>
          </rPr>
          <t xml:space="preserve">
12/16 上进口商贴纸 2028pcs
      上PDQ EAN贴纸 39pcs
12/28 上PDQ EAN贴纸 156pcs
12/30 上空白贴纸1 156pcs
      上空白贴纸2 312pcs</t>
        </r>
      </text>
    </comment>
    <comment ref="AD19" authorId="0">
      <text>
        <r>
          <rPr>
            <b/>
            <sz val="12"/>
            <rFont val="宋体"/>
            <charset val="134"/>
          </rPr>
          <t>Administrator:</t>
        </r>
        <r>
          <rPr>
            <sz val="12"/>
            <rFont val="宋体"/>
            <charset val="134"/>
          </rPr>
          <t xml:space="preserve">
0001008 1/9 1800pcs 已走货</t>
        </r>
      </text>
    </comment>
    <comment ref="AG19" authorId="0">
      <text>
        <r>
          <rPr>
            <b/>
            <sz val="12"/>
            <rFont val="宋体"/>
            <charset val="134"/>
          </rPr>
          <t>Administrator:</t>
        </r>
        <r>
          <rPr>
            <sz val="12"/>
            <rFont val="宋体"/>
            <charset val="134"/>
          </rPr>
          <t xml:space="preserve">
12/13 上客供价格贴纸 1890pcs
12/17 上UCC外箱贴纸 150pcs</t>
        </r>
      </text>
    </comment>
    <comment ref="AD20" authorId="0">
      <text>
        <r>
          <rPr>
            <b/>
            <sz val="12"/>
            <rFont val="宋体"/>
            <charset val="134"/>
          </rPr>
          <t>Administrator:</t>
        </r>
        <r>
          <rPr>
            <sz val="12"/>
            <rFont val="宋体"/>
            <charset val="134"/>
          </rPr>
          <t xml:space="preserve">
0001008 1/9 3600pcs 已走货</t>
        </r>
      </text>
    </comment>
    <comment ref="AG20" authorId="0">
      <text>
        <r>
          <rPr>
            <b/>
            <sz val="12"/>
            <rFont val="宋体"/>
            <charset val="134"/>
          </rPr>
          <t>Administrator:</t>
        </r>
        <r>
          <rPr>
            <sz val="12"/>
            <rFont val="宋体"/>
            <charset val="134"/>
          </rPr>
          <t xml:space="preserve">
12/13 上客供价格贴纸 3780pcs
12/17 上UCC外箱贴纸 300pcs</t>
        </r>
      </text>
    </comment>
    <comment ref="AD21" authorId="0">
      <text>
        <r>
          <rPr>
            <b/>
            <sz val="12"/>
            <rFont val="宋体"/>
            <charset val="134"/>
          </rPr>
          <t>Administrator:</t>
        </r>
        <r>
          <rPr>
            <sz val="12"/>
            <rFont val="宋体"/>
            <charset val="134"/>
          </rPr>
          <t xml:space="preserve">
0000996 1/8 600pcs 华兴三B14</t>
        </r>
      </text>
    </comment>
    <comment ref="AG21" authorId="0">
      <text>
        <r>
          <rPr>
            <b/>
            <sz val="12"/>
            <rFont val="宋体"/>
            <charset val="134"/>
          </rPr>
          <t>Administrator:</t>
        </r>
        <r>
          <rPr>
            <sz val="12"/>
            <rFont val="宋体"/>
            <charset val="134"/>
          </rPr>
          <t xml:space="preserve">
12/3 上客供价格贴纸 630pcs</t>
        </r>
      </text>
    </comment>
    <comment ref="AD22" authorId="0">
      <text>
        <r>
          <rPr>
            <b/>
            <sz val="12"/>
            <rFont val="宋体"/>
            <charset val="134"/>
          </rPr>
          <t>Administrator:</t>
        </r>
        <r>
          <rPr>
            <sz val="12"/>
            <rFont val="宋体"/>
            <charset val="134"/>
          </rPr>
          <t xml:space="preserve">
0001024 1/9 1152pcs 华兴三B6</t>
        </r>
      </text>
    </comment>
    <comment ref="AG22" authorId="0">
      <text>
        <r>
          <rPr>
            <b/>
            <sz val="12"/>
            <rFont val="宋体"/>
            <charset val="134"/>
          </rPr>
          <t>Administrator:</t>
        </r>
        <r>
          <rPr>
            <sz val="12"/>
            <rFont val="宋体"/>
            <charset val="134"/>
          </rPr>
          <t xml:space="preserve">
12/26 上客供RFID贴纸 1152pcs</t>
        </r>
      </text>
    </comment>
    <comment ref="AD23" authorId="0">
      <text>
        <r>
          <rPr>
            <b/>
            <sz val="12"/>
            <rFont val="宋体"/>
            <charset val="134"/>
          </rPr>
          <t>Administrator:</t>
        </r>
        <r>
          <rPr>
            <sz val="12"/>
            <rFont val="宋体"/>
            <charset val="134"/>
          </rPr>
          <t xml:space="preserve">
0001024 1/9 3456pcs  华兴三B6
</t>
        </r>
      </text>
    </comment>
    <comment ref="AG23" authorId="0">
      <text>
        <r>
          <rPr>
            <b/>
            <sz val="12"/>
            <rFont val="宋体"/>
            <charset val="134"/>
          </rPr>
          <t>Administrator:</t>
        </r>
        <r>
          <rPr>
            <sz val="12"/>
            <rFont val="宋体"/>
            <charset val="134"/>
          </rPr>
          <t xml:space="preserve">
12/26 上客供RFID贴纸 3456pcs</t>
        </r>
      </text>
    </comment>
    <comment ref="AD24" authorId="0">
      <text>
        <r>
          <rPr>
            <b/>
            <sz val="12"/>
            <rFont val="宋体"/>
            <charset val="134"/>
          </rPr>
          <t>Administrator:</t>
        </r>
        <r>
          <rPr>
            <sz val="12"/>
            <rFont val="宋体"/>
            <charset val="134"/>
          </rPr>
          <t xml:space="preserve">
0001024 1/9 1152pcs  华兴三B6
</t>
        </r>
      </text>
    </comment>
    <comment ref="AG24" authorId="0">
      <text>
        <r>
          <rPr>
            <b/>
            <sz val="12"/>
            <rFont val="宋体"/>
            <charset val="134"/>
          </rPr>
          <t>Administrator:</t>
        </r>
        <r>
          <rPr>
            <sz val="12"/>
            <rFont val="宋体"/>
            <charset val="134"/>
          </rPr>
          <t xml:space="preserve">
12/26 上客供RFID贴纸 1152pcs</t>
        </r>
      </text>
    </comment>
    <comment ref="AD25" authorId="0">
      <text>
        <r>
          <rPr>
            <b/>
            <sz val="12"/>
            <rFont val="宋体"/>
            <charset val="134"/>
          </rPr>
          <t>Administrator:</t>
        </r>
        <r>
          <rPr>
            <sz val="12"/>
            <rFont val="宋体"/>
            <charset val="134"/>
          </rPr>
          <t xml:space="preserve">
0001024 1/9 2304pcs  华兴三B6
</t>
        </r>
      </text>
    </comment>
    <comment ref="AG25" authorId="0">
      <text>
        <r>
          <rPr>
            <b/>
            <sz val="12"/>
            <rFont val="宋体"/>
            <charset val="134"/>
          </rPr>
          <t>Administrator:</t>
        </r>
        <r>
          <rPr>
            <sz val="12"/>
            <rFont val="宋体"/>
            <charset val="134"/>
          </rPr>
          <t xml:space="preserve">
12/26 上客供RFID贴纸 2304pcs</t>
        </r>
      </text>
    </comment>
    <comment ref="AD26" authorId="0">
      <text>
        <r>
          <rPr>
            <b/>
            <sz val="12"/>
            <rFont val="宋体"/>
            <charset val="134"/>
          </rPr>
          <t>Administrator:</t>
        </r>
        <r>
          <rPr>
            <sz val="12"/>
            <rFont val="宋体"/>
            <charset val="134"/>
          </rPr>
          <t xml:space="preserve">
0001024 1/9 2304pcs  华兴三B6
</t>
        </r>
      </text>
    </comment>
    <comment ref="AG26" authorId="0">
      <text>
        <r>
          <rPr>
            <b/>
            <sz val="12"/>
            <rFont val="宋体"/>
            <charset val="134"/>
          </rPr>
          <t>Administrator:</t>
        </r>
        <r>
          <rPr>
            <sz val="12"/>
            <rFont val="宋体"/>
            <charset val="134"/>
          </rPr>
          <t xml:space="preserve">
12/26 上客供RFID贴纸 2304pcs</t>
        </r>
      </text>
    </comment>
    <comment ref="AD27" authorId="0">
      <text>
        <r>
          <rPr>
            <b/>
            <sz val="12"/>
            <rFont val="宋体"/>
            <charset val="134"/>
          </rPr>
          <t>Administrator:</t>
        </r>
        <r>
          <rPr>
            <sz val="12"/>
            <rFont val="宋体"/>
            <charset val="134"/>
          </rPr>
          <t xml:space="preserve">
0001024 1/9 3456pcs  华兴三B6
</t>
        </r>
      </text>
    </comment>
    <comment ref="AG27" authorId="0">
      <text>
        <r>
          <rPr>
            <b/>
            <sz val="12"/>
            <rFont val="宋体"/>
            <charset val="134"/>
          </rPr>
          <t>Administrator:</t>
        </r>
        <r>
          <rPr>
            <sz val="12"/>
            <rFont val="宋体"/>
            <charset val="134"/>
          </rPr>
          <t xml:space="preserve">
12/26 上客供RFID贴纸 3456pcs</t>
        </r>
      </text>
    </comment>
    <comment ref="AD28" authorId="0">
      <text>
        <r>
          <rPr>
            <b/>
            <sz val="12"/>
            <rFont val="宋体"/>
            <charset val="134"/>
          </rPr>
          <t>Administrator:</t>
        </r>
        <r>
          <rPr>
            <sz val="12"/>
            <rFont val="宋体"/>
            <charset val="134"/>
          </rPr>
          <t xml:space="preserve">
0001024 1/9 1152pcs  华兴三B6
</t>
        </r>
      </text>
    </comment>
    <comment ref="AG28" authorId="0">
      <text>
        <r>
          <rPr>
            <b/>
            <sz val="12"/>
            <rFont val="宋体"/>
            <charset val="134"/>
          </rPr>
          <t>Administrator:</t>
        </r>
        <r>
          <rPr>
            <sz val="12"/>
            <rFont val="宋体"/>
            <charset val="134"/>
          </rPr>
          <t xml:space="preserve">
12/26 上客供RFID贴纸 1152pcs</t>
        </r>
      </text>
    </comment>
    <comment ref="AD29" authorId="0">
      <text>
        <r>
          <rPr>
            <b/>
            <sz val="12"/>
            <rFont val="宋体"/>
            <charset val="134"/>
          </rPr>
          <t>Administrator:</t>
        </r>
        <r>
          <rPr>
            <sz val="12"/>
            <rFont val="宋体"/>
            <charset val="134"/>
          </rPr>
          <t xml:space="preserve">
0000934 12/31 600pcs 华兴三A2</t>
        </r>
      </text>
    </comment>
    <comment ref="AG29" authorId="0">
      <text>
        <r>
          <rPr>
            <b/>
            <sz val="12"/>
            <rFont val="宋体"/>
            <charset val="134"/>
          </rPr>
          <t>Administrator:</t>
        </r>
        <r>
          <rPr>
            <sz val="12"/>
            <rFont val="宋体"/>
            <charset val="134"/>
          </rPr>
          <t xml:space="preserve">
12/23 上客供价格贴纸 660pcs
12/18 上空白贴纸 4800pcs
147801/147799/147804/147806共用</t>
        </r>
      </text>
    </comment>
    <comment ref="AD30" authorId="0">
      <text>
        <r>
          <rPr>
            <b/>
            <sz val="12"/>
            <rFont val="宋体"/>
            <charset val="134"/>
          </rPr>
          <t>Administrator:</t>
        </r>
        <r>
          <rPr>
            <sz val="12"/>
            <rFont val="宋体"/>
            <charset val="134"/>
          </rPr>
          <t xml:space="preserve">
0000934 12/31 588pcs 华兴三A25
0000950  1/4   12pcs 华兴三A25</t>
        </r>
      </text>
    </comment>
    <comment ref="AG30" authorId="0">
      <text>
        <r>
          <rPr>
            <b/>
            <sz val="12"/>
            <rFont val="宋体"/>
            <charset val="134"/>
          </rPr>
          <t>Administrator:</t>
        </r>
        <r>
          <rPr>
            <sz val="12"/>
            <rFont val="宋体"/>
            <charset val="134"/>
          </rPr>
          <t xml:space="preserve">
12/23 上客供价格贴纸 660pcs
12/18 上空白贴纸 4800pcs
147801/147799/147804/147806共用</t>
        </r>
      </text>
    </comment>
    <comment ref="AD31" authorId="0">
      <text>
        <r>
          <rPr>
            <b/>
            <sz val="12"/>
            <rFont val="宋体"/>
            <charset val="134"/>
          </rPr>
          <t>Administrator:</t>
        </r>
        <r>
          <rPr>
            <sz val="12"/>
            <rFont val="宋体"/>
            <charset val="134"/>
          </rPr>
          <t xml:space="preserve">
0001097 1/16 2388pcs  华兴三B8
0001132 1/17  12pcs   华兴三B8</t>
        </r>
      </text>
    </comment>
    <comment ref="AG31" authorId="0">
      <text>
        <r>
          <rPr>
            <b/>
            <sz val="12"/>
            <rFont val="宋体"/>
            <charset val="134"/>
          </rPr>
          <t>Administrator:</t>
        </r>
        <r>
          <rPr>
            <sz val="12"/>
            <rFont val="宋体"/>
            <charset val="134"/>
          </rPr>
          <t xml:space="preserve">
12/19 上客供价格贴纸 2520pcs</t>
        </r>
      </text>
    </comment>
    <comment ref="AD32" authorId="0">
      <text>
        <r>
          <rPr>
            <b/>
            <sz val="12"/>
            <rFont val="宋体"/>
            <charset val="134"/>
          </rPr>
          <t>Administrator:</t>
        </r>
        <r>
          <rPr>
            <sz val="12"/>
            <rFont val="宋体"/>
            <charset val="134"/>
          </rPr>
          <t xml:space="preserve">
0001108 1/16 1000pcs 华兴三B8</t>
        </r>
      </text>
    </comment>
    <comment ref="AG32" authorId="0">
      <text>
        <r>
          <rPr>
            <b/>
            <sz val="12"/>
            <rFont val="宋体"/>
            <charset val="134"/>
          </rPr>
          <t>Administrator:</t>
        </r>
        <r>
          <rPr>
            <sz val="12"/>
            <rFont val="宋体"/>
            <charset val="134"/>
          </rPr>
          <t xml:space="preserve">
12/18 上客户警语贴纸（含环保标） 1000pcs</t>
        </r>
      </text>
    </comment>
    <comment ref="AD33" authorId="0">
      <text>
        <r>
          <rPr>
            <b/>
            <sz val="12"/>
            <rFont val="宋体"/>
            <charset val="134"/>
          </rPr>
          <t>Administrator:</t>
        </r>
        <r>
          <rPr>
            <sz val="12"/>
            <rFont val="宋体"/>
            <charset val="134"/>
          </rPr>
          <t xml:space="preserve">
0001031 1/10 640pcs 华兴一C7</t>
        </r>
      </text>
    </comment>
    <comment ref="AD34" authorId="0">
      <text>
        <r>
          <rPr>
            <b/>
            <sz val="12"/>
            <rFont val="宋体"/>
            <charset val="134"/>
          </rPr>
          <t>Administrator:</t>
        </r>
        <r>
          <rPr>
            <sz val="12"/>
            <rFont val="宋体"/>
            <charset val="134"/>
          </rPr>
          <t xml:space="preserve">
0001108 1/16 2100pcs  华兴三B9
0001109 1/17 2500pcs  华兴三B9
</t>
        </r>
      </text>
    </comment>
    <comment ref="AG34" authorId="0">
      <text>
        <r>
          <rPr>
            <b/>
            <sz val="12"/>
            <rFont val="宋体"/>
            <charset val="134"/>
          </rPr>
          <t>Administrator:</t>
        </r>
        <r>
          <rPr>
            <sz val="12"/>
            <rFont val="宋体"/>
            <charset val="134"/>
          </rPr>
          <t xml:space="preserve">
12/23 上进口商贴纸 4600pcs
12/24 上UPC条码贴纸 4600pcs</t>
        </r>
      </text>
    </comment>
    <comment ref="AD35" authorId="0">
      <text>
        <r>
          <rPr>
            <b/>
            <sz val="9"/>
            <rFont val="宋体"/>
            <charset val="134"/>
          </rPr>
          <t>Administrator:</t>
        </r>
        <r>
          <rPr>
            <sz val="9"/>
            <rFont val="宋体"/>
            <charset val="134"/>
          </rPr>
          <t xml:space="preserve">
</t>
        </r>
        <r>
          <rPr>
            <sz val="12"/>
            <rFont val="宋体"/>
            <charset val="134"/>
          </rPr>
          <t>0001079 1/15 750pcs 华兴三B14</t>
        </r>
      </text>
    </comment>
    <comment ref="AG35" authorId="0">
      <text>
        <r>
          <rPr>
            <b/>
            <sz val="12"/>
            <rFont val="宋体"/>
            <charset val="134"/>
          </rPr>
          <t>Administrator:</t>
        </r>
        <r>
          <rPr>
            <sz val="12"/>
            <rFont val="宋体"/>
            <charset val="134"/>
          </rPr>
          <t xml:space="preserve">
12/25 上UPC贴纸 750pcs</t>
        </r>
      </text>
    </comment>
    <comment ref="AD36" authorId="0">
      <text>
        <r>
          <rPr>
            <b/>
            <sz val="12"/>
            <rFont val="宋体"/>
            <charset val="134"/>
          </rPr>
          <t>Administrator:</t>
        </r>
        <r>
          <rPr>
            <sz val="12"/>
            <rFont val="宋体"/>
            <charset val="134"/>
          </rPr>
          <t xml:space="preserve">
0001110 1/17 2226pcs 华兴三A29</t>
        </r>
      </text>
    </comment>
    <comment ref="AG36" authorId="0">
      <text>
        <r>
          <rPr>
            <b/>
            <sz val="12"/>
            <rFont val="宋体"/>
            <charset val="134"/>
          </rPr>
          <t>Administrator:</t>
        </r>
        <r>
          <rPr>
            <sz val="12"/>
            <rFont val="宋体"/>
            <charset val="134"/>
          </rPr>
          <t xml:space="preserve">
12/25 上WIC贴纸 9336pcs
      上PDQ折页 1556pcs</t>
        </r>
      </text>
    </comment>
    <comment ref="AD37" authorId="0">
      <text>
        <r>
          <rPr>
            <b/>
            <sz val="12"/>
            <rFont val="宋体"/>
            <charset val="134"/>
          </rPr>
          <t>Administrator:</t>
        </r>
        <r>
          <rPr>
            <sz val="12"/>
            <rFont val="宋体"/>
            <charset val="134"/>
          </rPr>
          <t xml:space="preserve">
0001110 1/17 708pcs 华兴三A29
</t>
        </r>
      </text>
    </comment>
    <comment ref="AD38" authorId="0">
      <text>
        <r>
          <rPr>
            <b/>
            <sz val="12"/>
            <rFont val="宋体"/>
            <charset val="134"/>
          </rPr>
          <t>Administrator:</t>
        </r>
        <r>
          <rPr>
            <sz val="12"/>
            <rFont val="宋体"/>
            <charset val="134"/>
          </rPr>
          <t xml:space="preserve">
0001110 1/17 942pcs 华兴三A29
</t>
        </r>
      </text>
    </comment>
    <comment ref="AD39" authorId="0">
      <text>
        <r>
          <rPr>
            <b/>
            <sz val="12"/>
            <rFont val="宋体"/>
            <charset val="134"/>
          </rPr>
          <t>Administrator:</t>
        </r>
        <r>
          <rPr>
            <sz val="12"/>
            <rFont val="宋体"/>
            <charset val="134"/>
          </rPr>
          <t xml:space="preserve">
0001110 1/17 1416pcs 华兴三A29
</t>
        </r>
      </text>
    </comment>
    <comment ref="AD40" authorId="0">
      <text>
        <r>
          <rPr>
            <b/>
            <sz val="12"/>
            <rFont val="宋体"/>
            <charset val="134"/>
          </rPr>
          <t>Administrator:</t>
        </r>
        <r>
          <rPr>
            <sz val="12"/>
            <rFont val="宋体"/>
            <charset val="134"/>
          </rPr>
          <t xml:space="preserve">
0001110 1/17 2010pcs 华兴三A29
</t>
        </r>
      </text>
    </comment>
    <comment ref="AD41" authorId="0">
      <text>
        <r>
          <rPr>
            <b/>
            <sz val="12"/>
            <rFont val="宋体"/>
            <charset val="134"/>
          </rPr>
          <t>Administrator:</t>
        </r>
        <r>
          <rPr>
            <sz val="12"/>
            <rFont val="宋体"/>
            <charset val="134"/>
          </rPr>
          <t xml:space="preserve">
0001110 1/17 768pcs</t>
        </r>
      </text>
    </comment>
    <comment ref="AD42" authorId="0">
      <text>
        <r>
          <rPr>
            <b/>
            <sz val="12"/>
            <rFont val="宋体"/>
            <charset val="134"/>
          </rPr>
          <t>Administrator:</t>
        </r>
        <r>
          <rPr>
            <sz val="12"/>
            <rFont val="宋体"/>
            <charset val="134"/>
          </rPr>
          <t xml:space="preserve">
0001110 1/17 1266pcs 华兴三A29
</t>
        </r>
      </text>
    </comment>
    <comment ref="AD43" authorId="0">
      <text>
        <r>
          <rPr>
            <b/>
            <sz val="12"/>
            <rFont val="宋体"/>
            <charset val="134"/>
          </rPr>
          <t>Administrator:</t>
        </r>
        <r>
          <rPr>
            <sz val="12"/>
            <rFont val="宋体"/>
            <charset val="134"/>
          </rPr>
          <t xml:space="preserve">
0001109 1/17 2600pcs 华兴三B15</t>
        </r>
      </text>
    </comment>
    <comment ref="AG43" authorId="0">
      <text>
        <r>
          <rPr>
            <b/>
            <sz val="12"/>
            <rFont val="宋体"/>
            <charset val="134"/>
          </rPr>
          <t>Administrator:</t>
        </r>
        <r>
          <rPr>
            <sz val="12"/>
            <rFont val="宋体"/>
            <charset val="134"/>
          </rPr>
          <t xml:space="preserve">
12/12 上客户EAN条码贴纸 7176pcs</t>
        </r>
      </text>
    </comment>
    <comment ref="AD44" authorId="0">
      <text>
        <r>
          <rPr>
            <b/>
            <sz val="12"/>
            <rFont val="宋体"/>
            <charset val="134"/>
          </rPr>
          <t>Administrator:</t>
        </r>
        <r>
          <rPr>
            <sz val="12"/>
            <rFont val="宋体"/>
            <charset val="134"/>
          </rPr>
          <t xml:space="preserve">
0001109 1/17 1456pcs 华兴三B15</t>
        </r>
      </text>
    </comment>
    <comment ref="AD45" authorId="0">
      <text>
        <r>
          <rPr>
            <b/>
            <sz val="12"/>
            <rFont val="宋体"/>
            <charset val="134"/>
          </rPr>
          <t>Administrator:</t>
        </r>
        <r>
          <rPr>
            <sz val="12"/>
            <rFont val="宋体"/>
            <charset val="134"/>
          </rPr>
          <t xml:space="preserve">
0001132 1/17 600pcs 华兴三A26</t>
        </r>
      </text>
    </comment>
    <comment ref="AG45" authorId="0">
      <text>
        <r>
          <rPr>
            <b/>
            <sz val="12"/>
            <rFont val="宋体"/>
            <charset val="134"/>
          </rPr>
          <t>Administrator:</t>
        </r>
        <r>
          <rPr>
            <sz val="12"/>
            <rFont val="宋体"/>
            <charset val="134"/>
          </rPr>
          <t xml:space="preserve">
12/23 上客供价格贴纸 660pcs
12/18 上空白贴纸 4800pcs
147801/147799/147804/147806共用</t>
        </r>
      </text>
    </comment>
    <comment ref="AD46" authorId="0">
      <text>
        <r>
          <rPr>
            <b/>
            <sz val="12"/>
            <rFont val="宋体"/>
            <charset val="134"/>
          </rPr>
          <t>Administrator:</t>
        </r>
        <r>
          <rPr>
            <sz val="12"/>
            <rFont val="宋体"/>
            <charset val="134"/>
          </rPr>
          <t xml:space="preserve">
0001132 1/17 600pcs 华兴三B7</t>
        </r>
      </text>
    </comment>
    <comment ref="AD47" authorId="0">
      <text>
        <r>
          <rPr>
            <b/>
            <sz val="12"/>
            <rFont val="宋体"/>
            <charset val="134"/>
          </rPr>
          <t>Administrator:</t>
        </r>
        <r>
          <rPr>
            <sz val="12"/>
            <rFont val="宋体"/>
            <charset val="134"/>
          </rPr>
          <t xml:space="preserve">
0001132 1/17 336pcs 华兴三B7</t>
        </r>
      </text>
    </comment>
    <comment ref="AD48" authorId="0">
      <text>
        <r>
          <rPr>
            <b/>
            <sz val="12"/>
            <rFont val="宋体"/>
            <charset val="134"/>
          </rPr>
          <t>Administrator:</t>
        </r>
        <r>
          <rPr>
            <sz val="12"/>
            <rFont val="宋体"/>
            <charset val="134"/>
          </rPr>
          <t xml:space="preserve">
0001132 1/17 336pcs 华兴三B7</t>
        </r>
      </text>
    </comment>
    <comment ref="AD49" authorId="0">
      <text>
        <r>
          <rPr>
            <b/>
            <sz val="12"/>
            <rFont val="宋体"/>
            <charset val="134"/>
          </rPr>
          <t>Administrator:</t>
        </r>
        <r>
          <rPr>
            <sz val="12"/>
            <rFont val="宋体"/>
            <charset val="134"/>
          </rPr>
          <t xml:space="preserve">
0001132 1/17 336pcs 华兴三B7</t>
        </r>
      </text>
    </comment>
    <comment ref="AD50" authorId="0">
      <text>
        <r>
          <rPr>
            <b/>
            <sz val="12"/>
            <rFont val="宋体"/>
            <charset val="134"/>
          </rPr>
          <t>Administrator:</t>
        </r>
        <r>
          <rPr>
            <sz val="12"/>
            <rFont val="宋体"/>
            <charset val="134"/>
          </rPr>
          <t xml:space="preserve">
0001132 1/17 600pcs 华兴三B7</t>
        </r>
      </text>
    </comment>
    <comment ref="AD51" authorId="0">
      <text>
        <r>
          <rPr>
            <b/>
            <sz val="12"/>
            <rFont val="宋体"/>
            <charset val="134"/>
          </rPr>
          <t>Administrator:</t>
        </r>
        <r>
          <rPr>
            <sz val="12"/>
            <rFont val="宋体"/>
            <charset val="134"/>
          </rPr>
          <t xml:space="preserve">
0001097 1/16 2304pcs 华兴三B4</t>
        </r>
      </text>
    </comment>
    <comment ref="AG51" authorId="0">
      <text>
        <r>
          <rPr>
            <b/>
            <sz val="12"/>
            <rFont val="宋体"/>
            <charset val="134"/>
          </rPr>
          <t>Administrator:</t>
        </r>
        <r>
          <rPr>
            <sz val="12"/>
            <rFont val="宋体"/>
            <charset val="134"/>
          </rPr>
          <t xml:space="preserve">
1/3 上客供RFID贴纸 2304pcs</t>
        </r>
      </text>
    </comment>
    <comment ref="AD52" authorId="0">
      <text>
        <r>
          <rPr>
            <b/>
            <sz val="12"/>
            <rFont val="宋体"/>
            <charset val="134"/>
          </rPr>
          <t>Administrator:</t>
        </r>
        <r>
          <rPr>
            <sz val="12"/>
            <rFont val="宋体"/>
            <charset val="134"/>
          </rPr>
          <t xml:space="preserve">
0001109 1/17 1152pcs 华兴三B5</t>
        </r>
      </text>
    </comment>
    <comment ref="AG52" authorId="0">
      <text>
        <r>
          <rPr>
            <b/>
            <sz val="12"/>
            <rFont val="宋体"/>
            <charset val="134"/>
          </rPr>
          <t>Administrator:</t>
        </r>
        <r>
          <rPr>
            <sz val="12"/>
            <rFont val="宋体"/>
            <charset val="134"/>
          </rPr>
          <t xml:space="preserve">
1/3 上客供RFID贴纸 1152pcs</t>
        </r>
      </text>
    </comment>
    <comment ref="AD53" authorId="0">
      <text>
        <r>
          <rPr>
            <b/>
            <sz val="12"/>
            <rFont val="宋体"/>
            <charset val="134"/>
          </rPr>
          <t>Administrator:</t>
        </r>
        <r>
          <rPr>
            <sz val="12"/>
            <rFont val="宋体"/>
            <charset val="134"/>
          </rPr>
          <t xml:space="preserve">
0001109 1/17 3456pcs 华兴三B5
</t>
        </r>
      </text>
    </comment>
    <comment ref="AG53" authorId="0">
      <text>
        <r>
          <rPr>
            <b/>
            <sz val="12"/>
            <rFont val="宋体"/>
            <charset val="134"/>
          </rPr>
          <t>Administrator:</t>
        </r>
        <r>
          <rPr>
            <sz val="12"/>
            <rFont val="宋体"/>
            <charset val="134"/>
          </rPr>
          <t xml:space="preserve">
1/3 上客供RFID贴纸 3456pcs</t>
        </r>
      </text>
    </comment>
    <comment ref="AD54" authorId="0">
      <text>
        <r>
          <rPr>
            <b/>
            <sz val="12"/>
            <rFont val="宋体"/>
            <charset val="134"/>
          </rPr>
          <t>Administrator:</t>
        </r>
        <r>
          <rPr>
            <sz val="12"/>
            <rFont val="宋体"/>
            <charset val="134"/>
          </rPr>
          <t xml:space="preserve">
0001109 1/17 1152pcs 华兴三B5
</t>
        </r>
      </text>
    </comment>
    <comment ref="AG54" authorId="0">
      <text>
        <r>
          <rPr>
            <b/>
            <sz val="12"/>
            <rFont val="宋体"/>
            <charset val="134"/>
          </rPr>
          <t>Administrator:</t>
        </r>
        <r>
          <rPr>
            <sz val="12"/>
            <rFont val="宋体"/>
            <charset val="134"/>
          </rPr>
          <t xml:space="preserve">
1/3 上客供RFID贴纸 1152pcs</t>
        </r>
      </text>
    </comment>
    <comment ref="AD55" authorId="0">
      <text>
        <r>
          <rPr>
            <b/>
            <sz val="12"/>
            <rFont val="宋体"/>
            <charset val="134"/>
          </rPr>
          <t>Administrator:</t>
        </r>
        <r>
          <rPr>
            <sz val="12"/>
            <rFont val="宋体"/>
            <charset val="134"/>
          </rPr>
          <t xml:space="preserve">
0001109 1/17 1152pcs 华兴三B5
</t>
        </r>
      </text>
    </comment>
    <comment ref="AG55" authorId="0">
      <text>
        <r>
          <rPr>
            <b/>
            <sz val="12"/>
            <rFont val="宋体"/>
            <charset val="134"/>
          </rPr>
          <t>Administrator:</t>
        </r>
        <r>
          <rPr>
            <sz val="12"/>
            <rFont val="宋体"/>
            <charset val="134"/>
          </rPr>
          <t xml:space="preserve">
1/3 上客供RFID贴纸 1152pcs</t>
        </r>
      </text>
    </comment>
    <comment ref="AD56" authorId="0">
      <text>
        <r>
          <rPr>
            <b/>
            <sz val="12"/>
            <rFont val="宋体"/>
            <charset val="134"/>
          </rPr>
          <t>Administrator:</t>
        </r>
        <r>
          <rPr>
            <sz val="12"/>
            <rFont val="宋体"/>
            <charset val="134"/>
          </rPr>
          <t xml:space="preserve">
0001109 1/17 1152pcs 华兴三B5
</t>
        </r>
      </text>
    </comment>
    <comment ref="AG56" authorId="0">
      <text>
        <r>
          <rPr>
            <b/>
            <sz val="12"/>
            <rFont val="宋体"/>
            <charset val="134"/>
          </rPr>
          <t>Administrator:</t>
        </r>
        <r>
          <rPr>
            <sz val="12"/>
            <rFont val="宋体"/>
            <charset val="134"/>
          </rPr>
          <t xml:space="preserve">
1/3 上客供RFID贴纸 1152pcs</t>
        </r>
      </text>
    </comment>
    <comment ref="AD57" authorId="0">
      <text>
        <r>
          <rPr>
            <b/>
            <sz val="12"/>
            <rFont val="宋体"/>
            <charset val="134"/>
          </rPr>
          <t>Administrator:</t>
        </r>
        <r>
          <rPr>
            <sz val="12"/>
            <rFont val="宋体"/>
            <charset val="134"/>
          </rPr>
          <t xml:space="preserve">
0001242 2/18 520pcs 已走货</t>
        </r>
      </text>
    </comment>
    <comment ref="AG57" authorId="0">
      <text>
        <r>
          <rPr>
            <b/>
            <sz val="12"/>
            <rFont val="宋体"/>
            <charset val="134"/>
          </rPr>
          <t>Administrator:</t>
        </r>
        <r>
          <rPr>
            <sz val="12"/>
            <rFont val="宋体"/>
            <charset val="134"/>
          </rPr>
          <t xml:space="preserve">
1/6 上进口商贴纸 520pcs</t>
        </r>
      </text>
    </comment>
    <comment ref="AD58" authorId="0">
      <text>
        <r>
          <rPr>
            <b/>
            <sz val="12"/>
            <rFont val="宋体"/>
            <charset val="134"/>
          </rPr>
          <t>Administrator:</t>
        </r>
        <r>
          <rPr>
            <sz val="12"/>
            <rFont val="宋体"/>
            <charset val="134"/>
          </rPr>
          <t xml:space="preserve">
0001242 2/18 12pcs 华兴三B7</t>
        </r>
      </text>
    </comment>
    <comment ref="AG58" authorId="0">
      <text>
        <r>
          <rPr>
            <b/>
            <sz val="12"/>
            <rFont val="宋体"/>
            <charset val="134"/>
          </rPr>
          <t>Administrator:</t>
        </r>
        <r>
          <rPr>
            <sz val="12"/>
            <rFont val="宋体"/>
            <charset val="134"/>
          </rPr>
          <t xml:space="preserve">
1/18 上亚马逊外箱贴纸 1pcs</t>
        </r>
      </text>
    </comment>
    <comment ref="AD59" authorId="0">
      <text>
        <r>
          <rPr>
            <b/>
            <sz val="12"/>
            <rFont val="宋体"/>
            <charset val="134"/>
          </rPr>
          <t>Administrator:</t>
        </r>
        <r>
          <rPr>
            <sz val="12"/>
            <rFont val="宋体"/>
            <charset val="134"/>
          </rPr>
          <t xml:space="preserve">
0001242 2/18 144pcs 华兴三B7</t>
        </r>
      </text>
    </comment>
    <comment ref="AG59" authorId="0">
      <text>
        <r>
          <rPr>
            <b/>
            <sz val="12"/>
            <rFont val="宋体"/>
            <charset val="134"/>
          </rPr>
          <t>Administrator:</t>
        </r>
        <r>
          <rPr>
            <sz val="12"/>
            <rFont val="宋体"/>
            <charset val="134"/>
          </rPr>
          <t xml:space="preserve">
1/18 上亚马逊外箱贴纸 12pcs</t>
        </r>
      </text>
    </comment>
    <comment ref="AD60" authorId="0">
      <text>
        <r>
          <rPr>
            <b/>
            <sz val="12"/>
            <rFont val="宋体"/>
            <charset val="134"/>
          </rPr>
          <t>Administrator:</t>
        </r>
        <r>
          <rPr>
            <sz val="12"/>
            <rFont val="宋体"/>
            <charset val="134"/>
          </rPr>
          <t xml:space="preserve">
0001242 2/18 1350pcs 华兴三B12</t>
        </r>
      </text>
    </comment>
    <comment ref="AG60" authorId="0">
      <text>
        <r>
          <rPr>
            <b/>
            <sz val="12"/>
            <rFont val="宋体"/>
            <charset val="134"/>
          </rPr>
          <t>Administrator:</t>
        </r>
        <r>
          <rPr>
            <sz val="12"/>
            <rFont val="宋体"/>
            <charset val="134"/>
          </rPr>
          <t xml:space="preserve">
2/11 上客供价标贴纸 1415pcs
2/13 上UPC条码贴纸 4750pcs
     上进口商贴纸 4750pcs
149460/154604/154624/151307共用</t>
        </r>
      </text>
    </comment>
    <comment ref="AD61" authorId="0">
      <text>
        <r>
          <rPr>
            <b/>
            <sz val="12"/>
            <rFont val="宋体"/>
            <charset val="134"/>
          </rPr>
          <t>Administrator:</t>
        </r>
        <r>
          <rPr>
            <sz val="12"/>
            <rFont val="宋体"/>
            <charset val="134"/>
          </rPr>
          <t xml:space="preserve">
0001290 2/21 750pcs 华兴三B14</t>
        </r>
      </text>
    </comment>
    <comment ref="AG61" authorId="0">
      <text>
        <r>
          <rPr>
            <b/>
            <sz val="12"/>
            <rFont val="宋体"/>
            <charset val="134"/>
          </rPr>
          <t>Administrator:</t>
        </r>
        <r>
          <rPr>
            <sz val="12"/>
            <rFont val="宋体"/>
            <charset val="134"/>
          </rPr>
          <t xml:space="preserve">
2/11 上客供价标贴纸 781pcs
2/13 上UPC条码贴纸 4750pcs
     上进口商贴纸 4750pcs
149460/154604/154624/151307共用
</t>
        </r>
      </text>
    </comment>
    <comment ref="AD62" authorId="0">
      <text>
        <r>
          <rPr>
            <b/>
            <sz val="12"/>
            <rFont val="宋体"/>
            <charset val="134"/>
          </rPr>
          <t>Administrator:</t>
        </r>
        <r>
          <rPr>
            <sz val="12"/>
            <rFont val="宋体"/>
            <charset val="134"/>
          </rPr>
          <t xml:space="preserve">
0001947 2/22 416pcs 华兴三A27</t>
        </r>
      </text>
    </comment>
    <comment ref="AG62" authorId="0">
      <text>
        <r>
          <rPr>
            <b/>
            <sz val="12"/>
            <rFont val="宋体"/>
            <charset val="134"/>
          </rPr>
          <t>Administrator:</t>
        </r>
        <r>
          <rPr>
            <sz val="12"/>
            <rFont val="宋体"/>
            <charset val="134"/>
          </rPr>
          <t xml:space="preserve">
1/6 上进口商贴纸 416pcs</t>
        </r>
      </text>
    </comment>
    <comment ref="AD63" authorId="0">
      <text>
        <r>
          <rPr>
            <b/>
            <sz val="12"/>
            <rFont val="宋体"/>
            <charset val="134"/>
          </rPr>
          <t>Administrator:</t>
        </r>
        <r>
          <rPr>
            <sz val="12"/>
            <rFont val="宋体"/>
            <charset val="134"/>
          </rPr>
          <t xml:space="preserve">
0001318 2/27 5000pcs 华兴三A27</t>
        </r>
      </text>
    </comment>
    <comment ref="AG63" authorId="0">
      <text>
        <r>
          <rPr>
            <b/>
            <sz val="12"/>
            <rFont val="宋体"/>
            <charset val="134"/>
          </rPr>
          <t>Administrator:</t>
        </r>
        <r>
          <rPr>
            <sz val="12"/>
            <rFont val="宋体"/>
            <charset val="134"/>
          </rPr>
          <t xml:space="preserve">
1/14 上日语警语贴纸 5000pcs 作废
2/13 上日语警语贴纸 5000pcs 更新后</t>
        </r>
      </text>
    </comment>
    <comment ref="AD64" authorId="0">
      <text>
        <r>
          <rPr>
            <b/>
            <sz val="12"/>
            <rFont val="宋体"/>
            <charset val="134"/>
          </rPr>
          <t>Administrator:</t>
        </r>
        <r>
          <rPr>
            <sz val="12"/>
            <rFont val="宋体"/>
            <charset val="134"/>
          </rPr>
          <t xml:space="preserve">
0001318 2/27 3224pcs 华兴三B16</t>
        </r>
      </text>
    </comment>
    <comment ref="AG64" authorId="0">
      <text>
        <r>
          <rPr>
            <b/>
            <sz val="12"/>
            <rFont val="宋体"/>
            <charset val="134"/>
          </rPr>
          <t>Administrator:</t>
        </r>
        <r>
          <rPr>
            <sz val="12"/>
            <rFont val="宋体"/>
            <charset val="134"/>
          </rPr>
          <t xml:space="preserve">
1/10 上客户EAN条码贴纸 3224pcs</t>
        </r>
      </text>
    </comment>
    <comment ref="AD65" authorId="0">
      <text>
        <r>
          <rPr>
            <b/>
            <sz val="12"/>
            <rFont val="宋体"/>
            <charset val="134"/>
          </rPr>
          <t>Administrator:</t>
        </r>
        <r>
          <rPr>
            <sz val="12"/>
            <rFont val="宋体"/>
            <charset val="134"/>
          </rPr>
          <t xml:space="preserve">
0001310 2/26 2304pcs 华兴三B5</t>
        </r>
      </text>
    </comment>
    <comment ref="AG65" authorId="0">
      <text>
        <r>
          <rPr>
            <b/>
            <sz val="12"/>
            <rFont val="宋体"/>
            <charset val="134"/>
          </rPr>
          <t>Administrator:</t>
        </r>
        <r>
          <rPr>
            <sz val="12"/>
            <rFont val="宋体"/>
            <charset val="134"/>
          </rPr>
          <t xml:space="preserve">
1/3 上客供RFID贴纸 2304pcs</t>
        </r>
      </text>
    </comment>
    <comment ref="AD66" authorId="0">
      <text>
        <r>
          <rPr>
            <b/>
            <sz val="12"/>
            <rFont val="宋体"/>
            <charset val="134"/>
          </rPr>
          <t>Administrator:</t>
        </r>
        <r>
          <rPr>
            <sz val="12"/>
            <rFont val="宋体"/>
            <charset val="134"/>
          </rPr>
          <t xml:space="preserve">
0001310 2/26 1152pcs 华兴三B5</t>
        </r>
      </text>
    </comment>
    <comment ref="AG66" authorId="0">
      <text>
        <r>
          <rPr>
            <b/>
            <sz val="12"/>
            <rFont val="宋体"/>
            <charset val="134"/>
          </rPr>
          <t>Administrator:</t>
        </r>
        <r>
          <rPr>
            <sz val="12"/>
            <rFont val="宋体"/>
            <charset val="134"/>
          </rPr>
          <t xml:space="preserve">
1/3 上客供RFID贴纸 1152pcs</t>
        </r>
      </text>
    </comment>
    <comment ref="AD67" authorId="0">
      <text>
        <r>
          <rPr>
            <b/>
            <sz val="12"/>
            <rFont val="宋体"/>
            <charset val="134"/>
          </rPr>
          <t>Administrator:</t>
        </r>
        <r>
          <rPr>
            <sz val="12"/>
            <rFont val="宋体"/>
            <charset val="134"/>
          </rPr>
          <t xml:space="preserve">
0001318 2/27 1152pcs 华兴三B5</t>
        </r>
      </text>
    </comment>
    <comment ref="AG67" authorId="0">
      <text>
        <r>
          <rPr>
            <b/>
            <sz val="12"/>
            <rFont val="宋体"/>
            <charset val="134"/>
          </rPr>
          <t>Administrator:</t>
        </r>
        <r>
          <rPr>
            <sz val="12"/>
            <rFont val="宋体"/>
            <charset val="134"/>
          </rPr>
          <t xml:space="preserve">
1/3 上客供RFID贴纸 1152pcs</t>
        </r>
      </text>
    </comment>
    <comment ref="AD68" authorId="0">
      <text>
        <r>
          <rPr>
            <b/>
            <sz val="12"/>
            <rFont val="宋体"/>
            <charset val="134"/>
          </rPr>
          <t>Administrator:</t>
        </r>
        <r>
          <rPr>
            <sz val="12"/>
            <rFont val="宋体"/>
            <charset val="134"/>
          </rPr>
          <t xml:space="preserve">
0001318 2/27 1152pcs 华兴三B5</t>
        </r>
      </text>
    </comment>
    <comment ref="AG68" authorId="0">
      <text>
        <r>
          <rPr>
            <b/>
            <sz val="12"/>
            <rFont val="宋体"/>
            <charset val="134"/>
          </rPr>
          <t>Administrator:</t>
        </r>
        <r>
          <rPr>
            <sz val="12"/>
            <rFont val="宋体"/>
            <charset val="134"/>
          </rPr>
          <t xml:space="preserve">
1/3 上客供RFID贴纸 1152pcs</t>
        </r>
      </text>
    </comment>
    <comment ref="AD69" authorId="0">
      <text>
        <r>
          <rPr>
            <b/>
            <sz val="12"/>
            <rFont val="宋体"/>
            <charset val="134"/>
          </rPr>
          <t>Administrator:</t>
        </r>
        <r>
          <rPr>
            <sz val="12"/>
            <rFont val="宋体"/>
            <charset val="134"/>
          </rPr>
          <t xml:space="preserve">
0001318 2/27 1152pcs 华兴三B5</t>
        </r>
      </text>
    </comment>
    <comment ref="AG69" authorId="0">
      <text>
        <r>
          <rPr>
            <b/>
            <sz val="12"/>
            <rFont val="宋体"/>
            <charset val="134"/>
          </rPr>
          <t>Administrator:</t>
        </r>
        <r>
          <rPr>
            <sz val="12"/>
            <rFont val="宋体"/>
            <charset val="134"/>
          </rPr>
          <t xml:space="preserve">
1/3 上客供RFID贴纸 1152pcs</t>
        </r>
      </text>
    </comment>
    <comment ref="AD70" authorId="0">
      <text>
        <r>
          <rPr>
            <b/>
            <sz val="12"/>
            <rFont val="宋体"/>
            <charset val="134"/>
          </rPr>
          <t>Administrator:</t>
        </r>
        <r>
          <rPr>
            <sz val="12"/>
            <rFont val="宋体"/>
            <charset val="134"/>
          </rPr>
          <t xml:space="preserve">
0001318 2/27 1152pcs 华兴三B5</t>
        </r>
      </text>
    </comment>
    <comment ref="AG70" authorId="0">
      <text>
        <r>
          <rPr>
            <b/>
            <sz val="12"/>
            <rFont val="宋体"/>
            <charset val="134"/>
          </rPr>
          <t>Administrator:</t>
        </r>
        <r>
          <rPr>
            <sz val="12"/>
            <rFont val="宋体"/>
            <charset val="134"/>
          </rPr>
          <t xml:space="preserve">
1/3 上客供RFID贴纸 1152pcs</t>
        </r>
      </text>
    </comment>
    <comment ref="AD71" authorId="0">
      <text>
        <r>
          <rPr>
            <b/>
            <sz val="12"/>
            <rFont val="宋体"/>
            <charset val="134"/>
          </rPr>
          <t>Administrator:</t>
        </r>
        <r>
          <rPr>
            <sz val="12"/>
            <rFont val="宋体"/>
            <charset val="134"/>
          </rPr>
          <t xml:space="preserve">
0001318 2/27 2028pcs 华兴三B14
0001358 2/28  52pcs  华兴三B14</t>
        </r>
      </text>
    </comment>
    <comment ref="AG71" authorId="0">
      <text>
        <r>
          <rPr>
            <b/>
            <sz val="12"/>
            <rFont val="宋体"/>
            <charset val="134"/>
          </rPr>
          <t>Administrator:</t>
        </r>
        <r>
          <rPr>
            <sz val="12"/>
            <rFont val="宋体"/>
            <charset val="134"/>
          </rPr>
          <t xml:space="preserve">
1/6 上进口商贴纸 2080pcs</t>
        </r>
      </text>
    </comment>
    <comment ref="AD72" authorId="0">
      <text>
        <r>
          <rPr>
            <b/>
            <sz val="12"/>
            <rFont val="宋体"/>
            <charset val="134"/>
          </rPr>
          <t>Administrator:</t>
        </r>
        <r>
          <rPr>
            <sz val="12"/>
            <rFont val="宋体"/>
            <charset val="134"/>
          </rPr>
          <t xml:space="preserve">
0001358 2/28 1350pcs 华兴三B8</t>
        </r>
      </text>
    </comment>
    <comment ref="AG72" authorId="0">
      <text>
        <r>
          <rPr>
            <b/>
            <sz val="12"/>
            <rFont val="宋体"/>
            <charset val="134"/>
          </rPr>
          <t>Administrator:</t>
        </r>
        <r>
          <rPr>
            <sz val="12"/>
            <rFont val="宋体"/>
            <charset val="134"/>
          </rPr>
          <t xml:space="preserve">
2/13 上UPC条码贴纸 4750pcs
     上进口商贴纸 4750pcs
149460/154604/154624/151307共用
2/18 上客供价格贴纸 1410pcs</t>
        </r>
      </text>
    </comment>
    <comment ref="AD73" authorId="0">
      <text>
        <r>
          <rPr>
            <b/>
            <sz val="12"/>
            <rFont val="宋体"/>
            <charset val="134"/>
          </rPr>
          <t>Administrator:</t>
        </r>
        <r>
          <rPr>
            <sz val="12"/>
            <rFont val="宋体"/>
            <charset val="134"/>
          </rPr>
          <t xml:space="preserve">
0001310 2/26 360pcs 华兴三B13</t>
        </r>
      </text>
    </comment>
    <comment ref="AD74" authorId="0">
      <text>
        <r>
          <rPr>
            <b/>
            <sz val="12"/>
            <rFont val="宋体"/>
            <charset val="134"/>
          </rPr>
          <t>Administrator:</t>
        </r>
        <r>
          <rPr>
            <sz val="12"/>
            <rFont val="宋体"/>
            <charset val="134"/>
          </rPr>
          <t xml:space="preserve">
0001358 2/28 1550pcs 华兴三B8
0001343  3/5   50pcs 华兴三B8</t>
        </r>
      </text>
    </comment>
    <comment ref="AG74" authorId="0">
      <text>
        <r>
          <rPr>
            <b/>
            <sz val="12"/>
            <rFont val="宋体"/>
            <charset val="134"/>
          </rPr>
          <t>Administrator:</t>
        </r>
        <r>
          <rPr>
            <sz val="12"/>
            <rFont val="宋体"/>
            <charset val="134"/>
          </rPr>
          <t xml:space="preserve">
2/13 上UPC贴纸 1600pcs
     上进口商贴纸 1600pcs</t>
        </r>
      </text>
    </comment>
    <comment ref="AD75" authorId="0">
      <text>
        <r>
          <rPr>
            <b/>
            <sz val="12"/>
            <rFont val="宋体"/>
            <charset val="134"/>
          </rPr>
          <t>Administrator:</t>
        </r>
        <r>
          <rPr>
            <sz val="12"/>
            <rFont val="宋体"/>
            <charset val="134"/>
          </rPr>
          <t xml:space="preserve">
0001358 2/28 1140pcs 华兴三B5
0001343  3/5  12pcs  华兴三B5</t>
        </r>
      </text>
    </comment>
    <comment ref="AG75" authorId="0">
      <text>
        <r>
          <rPr>
            <b/>
            <sz val="12"/>
            <rFont val="宋体"/>
            <charset val="134"/>
          </rPr>
          <t>Administrator:</t>
        </r>
        <r>
          <rPr>
            <sz val="12"/>
            <rFont val="宋体"/>
            <charset val="134"/>
          </rPr>
          <t xml:space="preserve">
2/18 上客供RFID贴纸 1152pcs</t>
        </r>
      </text>
    </comment>
    <comment ref="AD76" authorId="0">
      <text>
        <r>
          <rPr>
            <b/>
            <sz val="12"/>
            <rFont val="宋体"/>
            <charset val="134"/>
          </rPr>
          <t>Administrator:</t>
        </r>
        <r>
          <rPr>
            <sz val="12"/>
            <rFont val="宋体"/>
            <charset val="134"/>
          </rPr>
          <t xml:space="preserve">
0001396 3/7 2500pcs 华兴三B14</t>
        </r>
      </text>
    </comment>
    <comment ref="AG76" authorId="0">
      <text>
        <r>
          <rPr>
            <b/>
            <sz val="12"/>
            <rFont val="宋体"/>
            <charset val="134"/>
          </rPr>
          <t>Administrator:</t>
        </r>
        <r>
          <rPr>
            <sz val="12"/>
            <rFont val="宋体"/>
            <charset val="134"/>
          </rPr>
          <t xml:space="preserve">
3/4 上UPC贴纸 2500pcs
    上外箱贴纸 50pcs
    上进口商贴纸 2500pcs</t>
        </r>
      </text>
    </comment>
    <comment ref="AD77" authorId="0">
      <text>
        <r>
          <rPr>
            <b/>
            <sz val="12"/>
            <rFont val="宋体"/>
            <charset val="134"/>
          </rPr>
          <t>Administrator:</t>
        </r>
        <r>
          <rPr>
            <sz val="12"/>
            <rFont val="宋体"/>
            <charset val="134"/>
          </rPr>
          <t xml:space="preserve">
0001358 2/28 1250pcs 华兴三B8
0001343  3/5  50pcs  华兴三B8</t>
        </r>
      </text>
    </comment>
    <comment ref="AG77" authorId="0">
      <text>
        <r>
          <rPr>
            <b/>
            <sz val="12"/>
            <rFont val="宋体"/>
            <charset val="134"/>
          </rPr>
          <t>Administrator:</t>
        </r>
        <r>
          <rPr>
            <sz val="12"/>
            <rFont val="宋体"/>
            <charset val="134"/>
          </rPr>
          <t xml:space="preserve">
2/13 上UPC条码贴纸 4750pcs
     上进口商贴纸 4750pcs
149460/154604/154624/151307共用
2/18 上客供价格贴纸 1360pcs
</t>
        </r>
      </text>
    </comment>
    <comment ref="AD78" authorId="0">
      <text>
        <r>
          <rPr>
            <b/>
            <sz val="12"/>
            <rFont val="宋体"/>
            <charset val="134"/>
          </rPr>
          <t>Administrator:</t>
        </r>
        <r>
          <rPr>
            <sz val="12"/>
            <rFont val="宋体"/>
            <charset val="134"/>
          </rPr>
          <t xml:space="preserve">
0001442 3/11 1152pcs 华兴三B5</t>
        </r>
      </text>
    </comment>
    <comment ref="AG78" authorId="0">
      <text>
        <r>
          <rPr>
            <b/>
            <sz val="12"/>
            <rFont val="宋体"/>
            <charset val="134"/>
          </rPr>
          <t>Administrator:</t>
        </r>
        <r>
          <rPr>
            <sz val="12"/>
            <rFont val="宋体"/>
            <charset val="134"/>
          </rPr>
          <t xml:space="preserve">
2/11 上客供RFID贴纸 1152pcs</t>
        </r>
      </text>
    </comment>
    <comment ref="AD79" authorId="0">
      <text>
        <r>
          <rPr>
            <b/>
            <sz val="12"/>
            <rFont val="宋体"/>
            <charset val="134"/>
          </rPr>
          <t>Administrator:</t>
        </r>
        <r>
          <rPr>
            <sz val="12"/>
            <rFont val="宋体"/>
            <charset val="134"/>
          </rPr>
          <t xml:space="preserve">
0001442 3/11 1152pcs 华兴三B5</t>
        </r>
      </text>
    </comment>
    <comment ref="AG79" authorId="0">
      <text>
        <r>
          <rPr>
            <b/>
            <sz val="12"/>
            <rFont val="宋体"/>
            <charset val="134"/>
          </rPr>
          <t>Administrator:</t>
        </r>
        <r>
          <rPr>
            <sz val="12"/>
            <rFont val="宋体"/>
            <charset val="134"/>
          </rPr>
          <t xml:space="preserve">
2/11 上客供RFID贴纸 1152pcs</t>
        </r>
      </text>
    </comment>
    <comment ref="AD80" authorId="0">
      <text>
        <r>
          <rPr>
            <b/>
            <sz val="12"/>
            <rFont val="宋体"/>
            <charset val="134"/>
          </rPr>
          <t>Administrator:</t>
        </r>
        <r>
          <rPr>
            <sz val="12"/>
            <rFont val="宋体"/>
            <charset val="134"/>
          </rPr>
          <t xml:space="preserve">
0001456 3/12 3456pcs 华兴三B6</t>
        </r>
      </text>
    </comment>
    <comment ref="AG80" authorId="0">
      <text>
        <r>
          <rPr>
            <b/>
            <sz val="12"/>
            <rFont val="宋体"/>
            <charset val="134"/>
          </rPr>
          <t>Administrator:</t>
        </r>
        <r>
          <rPr>
            <sz val="12"/>
            <rFont val="宋体"/>
            <charset val="134"/>
          </rPr>
          <t xml:space="preserve">
2/11 上客供RFID贴纸 3456pcs</t>
        </r>
      </text>
    </comment>
    <comment ref="AD81" authorId="0">
      <text>
        <r>
          <rPr>
            <b/>
            <sz val="12"/>
            <rFont val="宋体"/>
            <charset val="134"/>
          </rPr>
          <t>Administrator:</t>
        </r>
        <r>
          <rPr>
            <sz val="12"/>
            <rFont val="宋体"/>
            <charset val="134"/>
          </rPr>
          <t xml:space="preserve">
0001456 3/12 2304pcs 华兴三B6</t>
        </r>
      </text>
    </comment>
    <comment ref="AG81" authorId="0">
      <text>
        <r>
          <rPr>
            <b/>
            <sz val="12"/>
            <rFont val="宋体"/>
            <charset val="134"/>
          </rPr>
          <t>Administrator:</t>
        </r>
        <r>
          <rPr>
            <sz val="12"/>
            <rFont val="宋体"/>
            <charset val="134"/>
          </rPr>
          <t xml:space="preserve">
2/11 上客供RFID贴纸 2304pcs</t>
        </r>
      </text>
    </comment>
    <comment ref="AD82" authorId="0">
      <text>
        <r>
          <rPr>
            <b/>
            <sz val="12"/>
            <rFont val="宋体"/>
            <charset val="134"/>
          </rPr>
          <t>Administrator:</t>
        </r>
        <r>
          <rPr>
            <sz val="12"/>
            <rFont val="宋体"/>
            <charset val="134"/>
          </rPr>
          <t xml:space="preserve">
0001442 3/11 1152pcs 华兴三B5</t>
        </r>
      </text>
    </comment>
    <comment ref="AG82" authorId="0">
      <text>
        <r>
          <rPr>
            <b/>
            <sz val="12"/>
            <rFont val="宋体"/>
            <charset val="134"/>
          </rPr>
          <t>Administrator:</t>
        </r>
        <r>
          <rPr>
            <sz val="12"/>
            <rFont val="宋体"/>
            <charset val="134"/>
          </rPr>
          <t xml:space="preserve">
2/11 上客供RFID贴纸 1152pcs</t>
        </r>
      </text>
    </comment>
    <comment ref="AD83" authorId="0">
      <text>
        <r>
          <rPr>
            <b/>
            <sz val="12"/>
            <rFont val="宋体"/>
            <charset val="134"/>
          </rPr>
          <t>Administrator:</t>
        </r>
        <r>
          <rPr>
            <sz val="12"/>
            <rFont val="宋体"/>
            <charset val="134"/>
          </rPr>
          <t xml:space="preserve">
0001456 3/12 1152pcs 华兴三B6</t>
        </r>
      </text>
    </comment>
    <comment ref="AG83" authorId="0">
      <text>
        <r>
          <rPr>
            <b/>
            <sz val="12"/>
            <rFont val="宋体"/>
            <charset val="134"/>
          </rPr>
          <t>Administrator:</t>
        </r>
        <r>
          <rPr>
            <sz val="12"/>
            <rFont val="宋体"/>
            <charset val="134"/>
          </rPr>
          <t xml:space="preserve">
2/11 上客供RFID贴纸 1152pcs</t>
        </r>
      </text>
    </comment>
    <comment ref="AD84" authorId="0">
      <text>
        <r>
          <rPr>
            <b/>
            <sz val="12"/>
            <rFont val="宋体"/>
            <charset val="134"/>
          </rPr>
          <t>Administrator:</t>
        </r>
        <r>
          <rPr>
            <sz val="12"/>
            <rFont val="宋体"/>
            <charset val="134"/>
          </rPr>
          <t xml:space="preserve">
0001461 3/14 1152pcs 华兴三B5</t>
        </r>
      </text>
    </comment>
    <comment ref="AG84" authorId="0">
      <text>
        <r>
          <rPr>
            <b/>
            <sz val="12"/>
            <rFont val="宋体"/>
            <charset val="134"/>
          </rPr>
          <t>Administrator:</t>
        </r>
        <r>
          <rPr>
            <sz val="12"/>
            <rFont val="宋体"/>
            <charset val="134"/>
          </rPr>
          <t xml:space="preserve">
2/21 上客供RFID贴纸 1152pcs</t>
        </r>
      </text>
    </comment>
    <comment ref="AD85" authorId="0">
      <text>
        <r>
          <rPr>
            <b/>
            <sz val="12"/>
            <rFont val="宋体"/>
            <charset val="134"/>
          </rPr>
          <t>Administrator:</t>
        </r>
        <r>
          <rPr>
            <sz val="12"/>
            <rFont val="宋体"/>
            <charset val="134"/>
          </rPr>
          <t xml:space="preserve">
0001507 3/19 1196pcs 华兴三B14</t>
        </r>
      </text>
    </comment>
    <comment ref="AG85" authorId="0">
      <text>
        <r>
          <rPr>
            <b/>
            <sz val="12"/>
            <rFont val="宋体"/>
            <charset val="134"/>
          </rPr>
          <t>Administrator:</t>
        </r>
        <r>
          <rPr>
            <sz val="12"/>
            <rFont val="宋体"/>
            <charset val="134"/>
          </rPr>
          <t xml:space="preserve">
2/24 上进口商含UPC贴纸 1196pcs</t>
        </r>
      </text>
    </comment>
    <comment ref="AD86" authorId="0">
      <text>
        <r>
          <rPr>
            <b/>
            <sz val="12"/>
            <rFont val="宋体"/>
            <charset val="134"/>
          </rPr>
          <t>Administrator:</t>
        </r>
        <r>
          <rPr>
            <sz val="12"/>
            <rFont val="宋体"/>
            <charset val="134"/>
          </rPr>
          <t xml:space="preserve">
0001386 3/26 750pcs 华兴三A27</t>
        </r>
      </text>
    </comment>
    <comment ref="AG86" authorId="0">
      <text>
        <r>
          <rPr>
            <b/>
            <sz val="12"/>
            <rFont val="宋体"/>
            <charset val="134"/>
          </rPr>
          <t>Administrator:</t>
        </r>
        <r>
          <rPr>
            <sz val="12"/>
            <rFont val="宋体"/>
            <charset val="134"/>
          </rPr>
          <t xml:space="preserve">
3/7 上UPC贴纸 750pcs</t>
        </r>
      </text>
    </comment>
    <comment ref="AD87" authorId="0">
      <text>
        <r>
          <rPr>
            <b/>
            <sz val="12"/>
            <rFont val="宋体"/>
            <charset val="134"/>
          </rPr>
          <t>Administrator:</t>
        </r>
        <r>
          <rPr>
            <sz val="12"/>
            <rFont val="宋体"/>
            <charset val="134"/>
          </rPr>
          <t xml:space="preserve">
0001899 3/31 142pcs</t>
        </r>
      </text>
    </comment>
    <comment ref="AD88" authorId="0">
      <text>
        <r>
          <rPr>
            <b/>
            <sz val="12"/>
            <rFont val="宋体"/>
            <charset val="134"/>
          </rPr>
          <t>Administrator:</t>
        </r>
        <r>
          <rPr>
            <sz val="12"/>
            <rFont val="宋体"/>
            <charset val="134"/>
          </rPr>
          <t xml:space="preserve">
0001899 3/31 7pcs</t>
        </r>
      </text>
    </comment>
    <comment ref="AD89" authorId="0">
      <text>
        <r>
          <rPr>
            <b/>
            <sz val="12"/>
            <rFont val="宋体"/>
            <charset val="134"/>
          </rPr>
          <t>Administrator:</t>
        </r>
        <r>
          <rPr>
            <sz val="12"/>
            <rFont val="宋体"/>
            <charset val="134"/>
          </rPr>
          <t xml:space="preserve">
0001905 4/2 416pcs 华兴三B14</t>
        </r>
      </text>
    </comment>
    <comment ref="AD90" authorId="0">
      <text>
        <r>
          <rPr>
            <b/>
            <sz val="12"/>
            <rFont val="宋体"/>
            <charset val="134"/>
          </rPr>
          <t>Administrator:</t>
        </r>
        <r>
          <rPr>
            <sz val="12"/>
            <rFont val="宋体"/>
            <charset val="134"/>
          </rPr>
          <t xml:space="preserve">
0001872 4/8 350pcs 华兴三B14
</t>
        </r>
      </text>
    </comment>
    <comment ref="AG90" authorId="0">
      <text>
        <r>
          <rPr>
            <b/>
            <sz val="12"/>
            <rFont val="宋体"/>
            <charset val="134"/>
          </rPr>
          <t>Administrator:</t>
        </r>
        <r>
          <rPr>
            <sz val="12"/>
            <rFont val="宋体"/>
            <charset val="134"/>
          </rPr>
          <t xml:space="preserve">
3/27 上UPC贴纸 2700pcs
     上进口商贴纸 2700pcs</t>
        </r>
      </text>
    </comment>
    <comment ref="AD91" authorId="0">
      <text>
        <r>
          <rPr>
            <b/>
            <sz val="12"/>
            <rFont val="宋体"/>
            <charset val="134"/>
          </rPr>
          <t>Administrator:</t>
        </r>
        <r>
          <rPr>
            <sz val="12"/>
            <rFont val="宋体"/>
            <charset val="134"/>
          </rPr>
          <t xml:space="preserve">
0001872 4/8 200pcs 华兴三B14
</t>
        </r>
      </text>
    </comment>
    <comment ref="AD92" authorId="0">
      <text>
        <r>
          <rPr>
            <b/>
            <sz val="12"/>
            <rFont val="宋体"/>
            <charset val="134"/>
          </rPr>
          <t>Administrator:</t>
        </r>
        <r>
          <rPr>
            <sz val="12"/>
            <rFont val="宋体"/>
            <charset val="134"/>
          </rPr>
          <t xml:space="preserve">
0001872 4/8 250pcs 华兴三B14
</t>
        </r>
      </text>
    </comment>
    <comment ref="AD93" authorId="0">
      <text>
        <r>
          <rPr>
            <b/>
            <sz val="12"/>
            <rFont val="宋体"/>
            <charset val="134"/>
          </rPr>
          <t>Administrator:</t>
        </r>
        <r>
          <rPr>
            <sz val="12"/>
            <rFont val="宋体"/>
            <charset val="134"/>
          </rPr>
          <t xml:space="preserve">
0001872 4/8 900pcs 华兴三B14
</t>
        </r>
      </text>
    </comment>
    <comment ref="AD94" authorId="0">
      <text>
        <r>
          <rPr>
            <b/>
            <sz val="12"/>
            <rFont val="宋体"/>
            <charset val="134"/>
          </rPr>
          <t>Administrator:</t>
        </r>
        <r>
          <rPr>
            <sz val="12"/>
            <rFont val="宋体"/>
            <charset val="134"/>
          </rPr>
          <t xml:space="preserve">
0001872 4/8 950pcs 华兴三B14
0001558 4/10 50pcs 华兴三B14</t>
        </r>
      </text>
    </comment>
    <comment ref="AD95" authorId="0">
      <text>
        <r>
          <rPr>
            <b/>
            <sz val="12"/>
            <rFont val="宋体"/>
            <charset val="134"/>
          </rPr>
          <t>Administrator:</t>
        </r>
        <r>
          <rPr>
            <sz val="12"/>
            <rFont val="宋体"/>
            <charset val="134"/>
          </rPr>
          <t xml:space="preserve">
0001660 4/16 200pcs 华兴三B7</t>
        </r>
      </text>
    </comment>
    <comment ref="AG95" authorId="0">
      <text>
        <r>
          <rPr>
            <b/>
            <sz val="12"/>
            <rFont val="宋体"/>
            <charset val="134"/>
          </rPr>
          <t>Administrator:</t>
        </r>
        <r>
          <rPr>
            <sz val="12"/>
            <rFont val="宋体"/>
            <charset val="134"/>
          </rPr>
          <t xml:space="preserve">
4/1 上UPC贴纸 200pcs</t>
        </r>
      </text>
    </comment>
    <comment ref="AD96" authorId="0">
      <text>
        <r>
          <rPr>
            <b/>
            <sz val="12"/>
            <rFont val="宋体"/>
            <charset val="134"/>
          </rPr>
          <t>Administrator:</t>
        </r>
        <r>
          <rPr>
            <sz val="12"/>
            <rFont val="宋体"/>
            <charset val="134"/>
          </rPr>
          <t xml:space="preserve">
0001618 4/24 2304pcs 华兴三B4</t>
        </r>
      </text>
    </comment>
    <comment ref="AG96" authorId="0">
      <text>
        <r>
          <rPr>
            <b/>
            <sz val="12"/>
            <rFont val="宋体"/>
            <charset val="134"/>
          </rPr>
          <t>Administrator:</t>
        </r>
        <r>
          <rPr>
            <sz val="12"/>
            <rFont val="宋体"/>
            <charset val="134"/>
          </rPr>
          <t xml:space="preserve">
4/7 上客供RFID贴纸 2304pcs</t>
        </r>
      </text>
    </comment>
    <comment ref="AD97" authorId="0">
      <text>
        <r>
          <rPr>
            <b/>
            <sz val="12"/>
            <rFont val="宋体"/>
            <charset val="134"/>
          </rPr>
          <t>Administrator:</t>
        </r>
        <r>
          <rPr>
            <sz val="12"/>
            <rFont val="宋体"/>
            <charset val="134"/>
          </rPr>
          <t xml:space="preserve">
0001618 4/24 1152pcs 华兴三B4</t>
        </r>
      </text>
    </comment>
    <comment ref="AG97" authorId="0">
      <text>
        <r>
          <rPr>
            <b/>
            <sz val="12"/>
            <rFont val="宋体"/>
            <charset val="134"/>
          </rPr>
          <t>Administrator:</t>
        </r>
        <r>
          <rPr>
            <sz val="12"/>
            <rFont val="宋体"/>
            <charset val="134"/>
          </rPr>
          <t xml:space="preserve">
4/7 上客供RFID贴纸 1152pcs</t>
        </r>
      </text>
    </comment>
    <comment ref="AD98" authorId="0">
      <text>
        <r>
          <rPr>
            <b/>
            <sz val="12"/>
            <rFont val="宋体"/>
            <charset val="134"/>
          </rPr>
          <t>Administrator:</t>
        </r>
        <r>
          <rPr>
            <sz val="12"/>
            <rFont val="宋体"/>
            <charset val="134"/>
          </rPr>
          <t xml:space="preserve">
0001660 4/16 260pcs 华兴三B7</t>
        </r>
      </text>
    </comment>
    <comment ref="AG98" authorId="0">
      <text>
        <r>
          <rPr>
            <b/>
            <sz val="12"/>
            <rFont val="宋体"/>
            <charset val="134"/>
          </rPr>
          <t>Administrator:</t>
        </r>
        <r>
          <rPr>
            <sz val="12"/>
            <rFont val="宋体"/>
            <charset val="134"/>
          </rPr>
          <t xml:space="preserve">
3/31 上进口商贴纸 260pcs</t>
        </r>
      </text>
    </comment>
    <comment ref="AD99" authorId="0">
      <text>
        <r>
          <rPr>
            <b/>
            <sz val="12"/>
            <rFont val="宋体"/>
            <charset val="134"/>
          </rPr>
          <t>Administrator:</t>
        </r>
        <r>
          <rPr>
            <sz val="12"/>
            <rFont val="宋体"/>
            <charset val="134"/>
          </rPr>
          <t xml:space="preserve">
0001618 4/24 1008pcs 华兴三B15</t>
        </r>
      </text>
    </comment>
    <comment ref="AG99" authorId="0">
      <text>
        <r>
          <rPr>
            <b/>
            <sz val="12"/>
            <rFont val="宋体"/>
            <charset val="134"/>
          </rPr>
          <t>Administrator:</t>
        </r>
        <r>
          <rPr>
            <sz val="12"/>
            <rFont val="宋体"/>
            <charset val="134"/>
          </rPr>
          <t xml:space="preserve">
4/9 上亚马逊外箱贴纸 84pcs
4/11 上环保标贴纸 1008pcs</t>
        </r>
      </text>
    </comment>
    <comment ref="AD100" authorId="0">
      <text>
        <r>
          <rPr>
            <b/>
            <sz val="12"/>
            <rFont val="宋体"/>
            <charset val="134"/>
          </rPr>
          <t>Administrator:</t>
        </r>
        <r>
          <rPr>
            <sz val="12"/>
            <rFont val="宋体"/>
            <charset val="134"/>
          </rPr>
          <t xml:space="preserve">
0001665 4/18 800pcs 华兴三B4</t>
        </r>
      </text>
    </comment>
    <comment ref="AD101" authorId="0">
      <text>
        <r>
          <rPr>
            <b/>
            <sz val="12"/>
            <rFont val="宋体"/>
            <charset val="134"/>
          </rPr>
          <t>Administrator:</t>
        </r>
        <r>
          <rPr>
            <sz val="12"/>
            <rFont val="宋体"/>
            <charset val="134"/>
          </rPr>
          <t xml:space="preserve">
2000981 5/16 1750pcs  华兴三B15
2000977 5/17  50pcs   华兴三B15</t>
        </r>
      </text>
    </comment>
    <comment ref="AD102" authorId="0">
      <text>
        <r>
          <rPr>
            <b/>
            <sz val="12"/>
            <rFont val="宋体"/>
            <charset val="134"/>
          </rPr>
          <t>Administrator:</t>
        </r>
        <r>
          <rPr>
            <sz val="12"/>
            <rFont val="宋体"/>
            <charset val="134"/>
          </rPr>
          <t xml:space="preserve">
2000941 5/16 16000pcs 莫海军B栋4楼B8区</t>
        </r>
      </text>
    </comment>
    <comment ref="AG102" authorId="0">
      <text>
        <r>
          <rPr>
            <b/>
            <sz val="12"/>
            <rFont val="宋体"/>
            <charset val="134"/>
          </rPr>
          <t>Administrator:</t>
        </r>
        <r>
          <rPr>
            <sz val="12"/>
            <rFont val="宋体"/>
            <charset val="134"/>
          </rPr>
          <t xml:space="preserve">
4/30 上UPC条码贴纸 16000pcs
     上进口商贴纸 16000pcs</t>
        </r>
      </text>
    </comment>
    <comment ref="AD103" authorId="0">
      <text>
        <r>
          <rPr>
            <b/>
            <sz val="12"/>
            <rFont val="宋体"/>
            <charset val="134"/>
          </rPr>
          <t>Administrator:</t>
        </r>
        <r>
          <rPr>
            <sz val="12"/>
            <rFont val="宋体"/>
            <charset val="134"/>
          </rPr>
          <t xml:space="preserve">
2001233 5/15 1500pcs B栋4楼</t>
        </r>
      </text>
    </comment>
    <comment ref="AG103" authorId="0">
      <text>
        <r>
          <rPr>
            <b/>
            <sz val="12"/>
            <rFont val="宋体"/>
            <charset val="134"/>
          </rPr>
          <t>Administrator:</t>
        </r>
        <r>
          <rPr>
            <sz val="12"/>
            <rFont val="宋体"/>
            <charset val="134"/>
          </rPr>
          <t xml:space="preserve">
4/21 上UPC贴纸 1500pcs</t>
        </r>
      </text>
    </comment>
    <comment ref="AD104" authorId="0">
      <text>
        <r>
          <rPr>
            <b/>
            <sz val="12"/>
            <rFont val="宋体"/>
            <charset val="134"/>
          </rPr>
          <t>Administrator:</t>
        </r>
        <r>
          <rPr>
            <sz val="12"/>
            <rFont val="宋体"/>
            <charset val="134"/>
          </rPr>
          <t xml:space="preserve">
2000877 5/20 1000pcs 华兴三B15</t>
        </r>
      </text>
    </comment>
    <comment ref="AG104" authorId="0">
      <text>
        <r>
          <rPr>
            <b/>
            <sz val="12"/>
            <rFont val="宋体"/>
            <charset val="134"/>
          </rPr>
          <t>Administrator:</t>
        </r>
        <r>
          <rPr>
            <sz val="12"/>
            <rFont val="宋体"/>
            <charset val="134"/>
          </rPr>
          <t xml:space="preserve">
5/6 上进口商贴纸 1000pcs</t>
        </r>
      </text>
    </comment>
    <comment ref="AD105" authorId="0">
      <text>
        <r>
          <rPr>
            <b/>
            <sz val="12"/>
            <rFont val="宋体"/>
            <charset val="134"/>
          </rPr>
          <t>Administrator:</t>
        </r>
        <r>
          <rPr>
            <sz val="12"/>
            <rFont val="宋体"/>
            <charset val="134"/>
          </rPr>
          <t xml:space="preserve">
2000800 5/24 1300pcs 已走货</t>
        </r>
      </text>
    </comment>
    <comment ref="AG105" authorId="0">
      <text>
        <r>
          <rPr>
            <b/>
            <sz val="12"/>
            <rFont val="宋体"/>
            <charset val="134"/>
          </rPr>
          <t>Administrator:</t>
        </r>
        <r>
          <rPr>
            <sz val="12"/>
            <rFont val="宋体"/>
            <charset val="134"/>
          </rPr>
          <t xml:space="preserve">
5/12 上日语贴纸 1300pcs
     上6+贴纸 2600pcs</t>
        </r>
      </text>
    </comment>
    <comment ref="AD106" authorId="0">
      <text>
        <r>
          <rPr>
            <b/>
            <sz val="12"/>
            <rFont val="宋体"/>
            <charset val="134"/>
          </rPr>
          <t>Administrator:</t>
        </r>
        <r>
          <rPr>
            <sz val="12"/>
            <rFont val="宋体"/>
            <charset val="134"/>
          </rPr>
          <t xml:space="preserve">
2000654 5/27 12pcs 华兴三B14</t>
        </r>
      </text>
    </comment>
    <comment ref="AG106" authorId="0">
      <text>
        <r>
          <rPr>
            <b/>
            <sz val="12"/>
            <rFont val="宋体"/>
            <charset val="134"/>
          </rPr>
          <t>Administrator:</t>
        </r>
        <r>
          <rPr>
            <sz val="12"/>
            <rFont val="宋体"/>
            <charset val="134"/>
          </rPr>
          <t xml:space="preserve">
5/12 上空白UPC贴纸 48pcs
5/12 上客供亚马逊外箱贴纸 1pcs</t>
        </r>
      </text>
    </comment>
    <comment ref="AD107" authorId="0">
      <text>
        <r>
          <rPr>
            <b/>
            <sz val="12"/>
            <rFont val="宋体"/>
            <charset val="134"/>
          </rPr>
          <t>Administrator:</t>
        </r>
        <r>
          <rPr>
            <sz val="12"/>
            <rFont val="宋体"/>
            <charset val="134"/>
          </rPr>
          <t xml:space="preserve">
2000654 5/27 12pcs 华兴三B14</t>
        </r>
      </text>
    </comment>
    <comment ref="AG107" authorId="0">
      <text>
        <r>
          <rPr>
            <b/>
            <sz val="12"/>
            <rFont val="宋体"/>
            <charset val="134"/>
          </rPr>
          <t>Administrator:</t>
        </r>
        <r>
          <rPr>
            <sz val="12"/>
            <rFont val="宋体"/>
            <charset val="134"/>
          </rPr>
          <t xml:space="preserve">
5/12 上空白UPC贴纸 48pcs
5/12 上客供亚马逊外箱贴纸 1pcs</t>
        </r>
      </text>
    </comment>
    <comment ref="AD108" authorId="0">
      <text>
        <r>
          <rPr>
            <b/>
            <sz val="12"/>
            <rFont val="宋体"/>
            <charset val="134"/>
          </rPr>
          <t>Administrator:</t>
        </r>
        <r>
          <rPr>
            <sz val="12"/>
            <rFont val="宋体"/>
            <charset val="134"/>
          </rPr>
          <t xml:space="preserve">
2002414 6/4 500pcs  新仓库一A2
</t>
        </r>
      </text>
    </comment>
    <comment ref="AD109" authorId="0">
      <text>
        <r>
          <rPr>
            <b/>
            <sz val="12"/>
            <rFont val="宋体"/>
            <charset val="134"/>
          </rPr>
          <t>Administrator:</t>
        </r>
        <r>
          <rPr>
            <sz val="12"/>
            <rFont val="宋体"/>
            <charset val="134"/>
          </rPr>
          <t xml:space="preserve">
2002373 6/5 208pcs 新仓库一B10</t>
        </r>
      </text>
    </comment>
    <comment ref="AG109" authorId="0">
      <text>
        <r>
          <rPr>
            <b/>
            <sz val="12"/>
            <rFont val="宋体"/>
            <charset val="134"/>
          </rPr>
          <t>Administrator:</t>
        </r>
        <r>
          <rPr>
            <sz val="12"/>
            <rFont val="宋体"/>
            <charset val="134"/>
          </rPr>
          <t xml:space="preserve">
5/14 上进口商贴纸 208pcs</t>
        </r>
      </text>
    </comment>
    <comment ref="AD110" authorId="0">
      <text>
        <r>
          <rPr>
            <b/>
            <sz val="12"/>
            <rFont val="宋体"/>
            <charset val="134"/>
          </rPr>
          <t>Administrator:</t>
        </r>
        <r>
          <rPr>
            <sz val="12"/>
            <rFont val="宋体"/>
            <charset val="134"/>
          </rPr>
          <t xml:space="preserve">
2000814 5/30 120pcs 华兴三B8</t>
        </r>
      </text>
    </comment>
    <comment ref="AG110" authorId="0">
      <text>
        <r>
          <rPr>
            <b/>
            <sz val="12"/>
            <rFont val="宋体"/>
            <charset val="134"/>
          </rPr>
          <t>Administrator:</t>
        </r>
        <r>
          <rPr>
            <sz val="12"/>
            <rFont val="宋体"/>
            <charset val="134"/>
          </rPr>
          <t xml:space="preserve">
5/19 上进口商贴纸 144pcs
     上空白贴纸 288pcs
5/26 上客供亚马逊外箱贴纸 10pcs</t>
        </r>
      </text>
    </comment>
    <comment ref="AD111" authorId="0">
      <text>
        <r>
          <rPr>
            <b/>
            <sz val="12"/>
            <rFont val="宋体"/>
            <charset val="134"/>
          </rPr>
          <t>Administrator:</t>
        </r>
        <r>
          <rPr>
            <sz val="12"/>
            <rFont val="宋体"/>
            <charset val="134"/>
          </rPr>
          <t xml:space="preserve">
2000814 5/30 24pcs 华兴三B8</t>
        </r>
      </text>
    </comment>
    <comment ref="AG111" authorId="0">
      <text>
        <r>
          <rPr>
            <b/>
            <sz val="12"/>
            <rFont val="宋体"/>
            <charset val="134"/>
          </rPr>
          <t>Administrator:</t>
        </r>
        <r>
          <rPr>
            <sz val="12"/>
            <rFont val="宋体"/>
            <charset val="134"/>
          </rPr>
          <t xml:space="preserve">
5/19 上进口商贴纸 144pcs
     上空白贴纸 288pcs
5/26 上客供亚马逊外箱贴纸 2pcs
</t>
        </r>
      </text>
    </comment>
    <comment ref="AD112" authorId="0">
      <text>
        <r>
          <rPr>
            <b/>
            <sz val="12"/>
            <rFont val="宋体"/>
            <charset val="134"/>
          </rPr>
          <t>Administrator:</t>
        </r>
        <r>
          <rPr>
            <sz val="12"/>
            <rFont val="宋体"/>
            <charset val="134"/>
          </rPr>
          <t xml:space="preserve">
2002325 6/7 2900pcs 已走货   </t>
        </r>
      </text>
    </comment>
    <comment ref="AG112" authorId="0">
      <text>
        <r>
          <rPr>
            <b/>
            <sz val="12"/>
            <rFont val="宋体"/>
            <charset val="134"/>
          </rPr>
          <t>Administrator:</t>
        </r>
        <r>
          <rPr>
            <sz val="12"/>
            <rFont val="宋体"/>
            <charset val="134"/>
          </rPr>
          <t xml:space="preserve">
5/21 上UPC贴纸 2900pcs
     上进口商贴纸 2900pcs
5/29 上外箱贴纸 58pcs</t>
        </r>
      </text>
    </comment>
    <comment ref="AD113" authorId="0">
      <text>
        <r>
          <rPr>
            <b/>
            <sz val="12"/>
            <rFont val="宋体"/>
            <charset val="134"/>
          </rPr>
          <t>Administrator:</t>
        </r>
        <r>
          <rPr>
            <sz val="12"/>
            <rFont val="宋体"/>
            <charset val="134"/>
          </rPr>
          <t xml:space="preserve">
2002277 6/9 1116pcs  华兴三B6
2002265 6/10  36pcs  华兴三B6</t>
        </r>
      </text>
    </comment>
    <comment ref="AG113" authorId="0">
      <text>
        <r>
          <rPr>
            <b/>
            <sz val="12"/>
            <rFont val="宋体"/>
            <charset val="134"/>
          </rPr>
          <t>Administrator:</t>
        </r>
        <r>
          <rPr>
            <sz val="12"/>
            <rFont val="宋体"/>
            <charset val="134"/>
          </rPr>
          <t xml:space="preserve">
5/24 上客供RFID贴纸 1152pcs</t>
        </r>
      </text>
    </comment>
    <comment ref="AD114" authorId="0">
      <text>
        <r>
          <rPr>
            <b/>
            <sz val="12"/>
            <rFont val="宋体"/>
            <charset val="134"/>
          </rPr>
          <t>Administrator:</t>
        </r>
        <r>
          <rPr>
            <sz val="12"/>
            <rFont val="宋体"/>
            <charset val="134"/>
          </rPr>
          <t xml:space="preserve">
2002277 6/9 1152pcs 华兴三B6</t>
        </r>
      </text>
    </comment>
    <comment ref="AG114" authorId="0">
      <text>
        <r>
          <rPr>
            <b/>
            <sz val="12"/>
            <rFont val="宋体"/>
            <charset val="134"/>
          </rPr>
          <t>Administrator:</t>
        </r>
        <r>
          <rPr>
            <sz val="12"/>
            <rFont val="宋体"/>
            <charset val="134"/>
          </rPr>
          <t xml:space="preserve">
5/24 上客供RFID贴纸 1152pcs</t>
        </r>
      </text>
    </comment>
    <comment ref="AD115" authorId="0">
      <text>
        <r>
          <rPr>
            <b/>
            <sz val="12"/>
            <rFont val="宋体"/>
            <charset val="134"/>
          </rPr>
          <t>Administrator:</t>
        </r>
        <r>
          <rPr>
            <sz val="12"/>
            <rFont val="宋体"/>
            <charset val="134"/>
          </rPr>
          <t xml:space="preserve">
2002277 6/9 1140pcs 华兴三B6
2002265 6/10 12pcs  华兴三B6</t>
        </r>
      </text>
    </comment>
    <comment ref="AG115" authorId="0">
      <text>
        <r>
          <rPr>
            <b/>
            <sz val="12"/>
            <rFont val="宋体"/>
            <charset val="134"/>
          </rPr>
          <t>Administrator:</t>
        </r>
        <r>
          <rPr>
            <sz val="12"/>
            <rFont val="宋体"/>
            <charset val="134"/>
          </rPr>
          <t xml:space="preserve">
5/24 上客供RFID贴纸 1152pcs</t>
        </r>
      </text>
    </comment>
    <comment ref="AD116" authorId="0">
      <text>
        <r>
          <rPr>
            <b/>
            <sz val="12"/>
            <rFont val="宋体"/>
            <charset val="134"/>
          </rPr>
          <t>Administrator:</t>
        </r>
        <r>
          <rPr>
            <sz val="12"/>
            <rFont val="宋体"/>
            <charset val="134"/>
          </rPr>
          <t xml:space="preserve">
2002292 6/7 550pcs 华兴三B16
2002265 6/10 50pcs 华兴三B16</t>
        </r>
      </text>
    </comment>
    <comment ref="AG116" authorId="0">
      <text>
        <r>
          <rPr>
            <b/>
            <sz val="12"/>
            <rFont val="宋体"/>
            <charset val="134"/>
          </rPr>
          <t>Administrator:</t>
        </r>
        <r>
          <rPr>
            <sz val="12"/>
            <rFont val="宋体"/>
            <charset val="134"/>
          </rPr>
          <t xml:space="preserve">
5/29 上进口商贴纸 600pcs</t>
        </r>
      </text>
    </comment>
    <comment ref="AD117" authorId="0">
      <text>
        <r>
          <rPr>
            <b/>
            <sz val="12"/>
            <rFont val="宋体"/>
            <charset val="134"/>
          </rPr>
          <t>Administrator:</t>
        </r>
        <r>
          <rPr>
            <sz val="12"/>
            <rFont val="宋体"/>
            <charset val="134"/>
          </rPr>
          <t xml:space="preserve">
2002103 6/17 1768pcs 华兴三B14
2002124 6/18  52pcs  华兴三B14</t>
        </r>
      </text>
    </comment>
    <comment ref="AG117" authorId="0">
      <text>
        <r>
          <rPr>
            <b/>
            <sz val="12"/>
            <rFont val="宋体"/>
            <charset val="134"/>
          </rPr>
          <t>Administrator:</t>
        </r>
        <r>
          <rPr>
            <sz val="12"/>
            <rFont val="宋体"/>
            <charset val="134"/>
          </rPr>
          <t xml:space="preserve">
5/29 上进口商贴纸 1820pcs</t>
        </r>
      </text>
    </comment>
    <comment ref="AD118" authorId="0">
      <text>
        <r>
          <rPr>
            <b/>
            <sz val="12"/>
            <rFont val="宋体"/>
            <charset val="134"/>
          </rPr>
          <t>Administrator:</t>
        </r>
        <r>
          <rPr>
            <sz val="12"/>
            <rFont val="宋体"/>
            <charset val="134"/>
          </rPr>
          <t xml:space="preserve">
2002070 6/20   50pcs 华兴三A23
2002192 6/20 2400pcs 华兴三A23
2002191 6/19 2550pcs 华兴三A23</t>
        </r>
      </text>
    </comment>
    <comment ref="AG118" authorId="0">
      <text>
        <r>
          <rPr>
            <b/>
            <sz val="12"/>
            <rFont val="宋体"/>
            <charset val="134"/>
          </rPr>
          <t>Administrator:</t>
        </r>
        <r>
          <rPr>
            <sz val="12"/>
            <rFont val="宋体"/>
            <charset val="134"/>
          </rPr>
          <t xml:space="preserve">
6/13 上进口商贴纸 5000pcs
     上UPC贴纸 5000pcs</t>
        </r>
      </text>
    </comment>
    <comment ref="AD119" authorId="0">
      <text>
        <r>
          <rPr>
            <b/>
            <sz val="12"/>
            <rFont val="宋体"/>
            <charset val="134"/>
          </rPr>
          <t>Administrator:</t>
        </r>
        <r>
          <rPr>
            <sz val="12"/>
            <rFont val="宋体"/>
            <charset val="134"/>
          </rPr>
          <t xml:space="preserve">
2002060 6/20 3000pcs 华兴三A29</t>
        </r>
      </text>
    </comment>
    <comment ref="AG119" authorId="0">
      <text>
        <r>
          <rPr>
            <b/>
            <sz val="12"/>
            <rFont val="宋体"/>
            <charset val="134"/>
          </rPr>
          <t>Administrator:</t>
        </r>
        <r>
          <rPr>
            <sz val="12"/>
            <rFont val="宋体"/>
            <charset val="134"/>
          </rPr>
          <t xml:space="preserve">
6/10 上进口商贴纸 3000pcs</t>
        </r>
      </text>
    </comment>
    <comment ref="AD120" authorId="0">
      <text>
        <r>
          <rPr>
            <b/>
            <sz val="12"/>
            <rFont val="宋体"/>
            <charset val="134"/>
          </rPr>
          <t>Administrator:</t>
        </r>
        <r>
          <rPr>
            <sz val="12"/>
            <rFont val="宋体"/>
            <charset val="134"/>
          </rPr>
          <t xml:space="preserve">
2002048 6/21 1152pcs 新仓库一B10
</t>
        </r>
      </text>
    </comment>
    <comment ref="AG120" authorId="0">
      <text>
        <r>
          <rPr>
            <b/>
            <sz val="12"/>
            <rFont val="宋体"/>
            <charset val="134"/>
          </rPr>
          <t>Administrator:</t>
        </r>
        <r>
          <rPr>
            <sz val="12"/>
            <rFont val="宋体"/>
            <charset val="134"/>
          </rPr>
          <t xml:space="preserve">
6/6 上客供RFID贴纸 1152pcs</t>
        </r>
      </text>
    </comment>
    <comment ref="AD121" authorId="0">
      <text>
        <r>
          <rPr>
            <b/>
            <sz val="12"/>
            <rFont val="宋体"/>
            <charset val="134"/>
          </rPr>
          <t>Administrator:</t>
        </r>
        <r>
          <rPr>
            <sz val="12"/>
            <rFont val="宋体"/>
            <charset val="134"/>
          </rPr>
          <t xml:space="preserve">
2002048 6/21 1152pcs 新仓库一B10</t>
        </r>
      </text>
    </comment>
    <comment ref="AG121" authorId="0">
      <text>
        <r>
          <rPr>
            <b/>
            <sz val="12"/>
            <rFont val="宋体"/>
            <charset val="134"/>
          </rPr>
          <t>Administrator:</t>
        </r>
        <r>
          <rPr>
            <sz val="12"/>
            <rFont val="宋体"/>
            <charset val="134"/>
          </rPr>
          <t xml:space="preserve">
6/6 上客供RFID贴纸 1152pcs</t>
        </r>
      </text>
    </comment>
    <comment ref="AD122" authorId="0">
      <text>
        <r>
          <rPr>
            <b/>
            <sz val="12"/>
            <rFont val="宋体"/>
            <charset val="134"/>
          </rPr>
          <t>Administrator:</t>
        </r>
        <r>
          <rPr>
            <sz val="12"/>
            <rFont val="宋体"/>
            <charset val="134"/>
          </rPr>
          <t xml:space="preserve">
2002048 6/21 2304pcs 新仓库一B10</t>
        </r>
      </text>
    </comment>
    <comment ref="AG122" authorId="0">
      <text>
        <r>
          <rPr>
            <b/>
            <sz val="12"/>
            <rFont val="宋体"/>
            <charset val="134"/>
          </rPr>
          <t>Administrator:</t>
        </r>
        <r>
          <rPr>
            <sz val="12"/>
            <rFont val="宋体"/>
            <charset val="134"/>
          </rPr>
          <t xml:space="preserve">
6/6 上客供RFID贴纸 2304pcs</t>
        </r>
      </text>
    </comment>
    <comment ref="AD123" authorId="0">
      <text>
        <r>
          <rPr>
            <b/>
            <sz val="12"/>
            <rFont val="宋体"/>
            <charset val="134"/>
          </rPr>
          <t>Administrator:</t>
        </r>
        <r>
          <rPr>
            <sz val="12"/>
            <rFont val="宋体"/>
            <charset val="134"/>
          </rPr>
          <t xml:space="preserve">
2002048 6/21 1152pcs 新仓库一B10</t>
        </r>
      </text>
    </comment>
    <comment ref="AG123" authorId="0">
      <text>
        <r>
          <rPr>
            <b/>
            <sz val="12"/>
            <rFont val="宋体"/>
            <charset val="134"/>
          </rPr>
          <t>Administrator:</t>
        </r>
        <r>
          <rPr>
            <sz val="12"/>
            <rFont val="宋体"/>
            <charset val="134"/>
          </rPr>
          <t xml:space="preserve">
6/6 上客供RFID贴纸 1152pcs</t>
        </r>
      </text>
    </comment>
    <comment ref="AD124" authorId="0">
      <text>
        <r>
          <rPr>
            <b/>
            <sz val="12"/>
            <rFont val="宋体"/>
            <charset val="134"/>
          </rPr>
          <t>Administrator:</t>
        </r>
        <r>
          <rPr>
            <sz val="12"/>
            <rFont val="宋体"/>
            <charset val="134"/>
          </rPr>
          <t xml:space="preserve">
3001953 7/1 750pcs</t>
        </r>
      </text>
    </comment>
    <comment ref="AG124" authorId="0">
      <text>
        <r>
          <rPr>
            <b/>
            <sz val="12"/>
            <rFont val="宋体"/>
            <charset val="134"/>
          </rPr>
          <t>Administrator:</t>
        </r>
        <r>
          <rPr>
            <sz val="12"/>
            <rFont val="宋体"/>
            <charset val="134"/>
          </rPr>
          <t xml:space="preserve">
6/13 上荷兰警告语贴纸 750pcs</t>
        </r>
      </text>
    </comment>
    <comment ref="AD125" authorId="0">
      <text>
        <r>
          <rPr>
            <b/>
            <sz val="12"/>
            <rFont val="宋体"/>
            <charset val="134"/>
          </rPr>
          <t>Administrator:</t>
        </r>
        <r>
          <rPr>
            <sz val="12"/>
            <rFont val="宋体"/>
            <charset val="134"/>
          </rPr>
          <t xml:space="preserve">
3001737 7/5 400pcs 华兴三B14</t>
        </r>
      </text>
    </comment>
    <comment ref="AG125" authorId="0">
      <text>
        <r>
          <rPr>
            <b/>
            <sz val="12"/>
            <rFont val="宋体"/>
            <charset val="134"/>
          </rPr>
          <t>Administrator:</t>
        </r>
        <r>
          <rPr>
            <sz val="12"/>
            <rFont val="宋体"/>
            <charset val="134"/>
          </rPr>
          <t xml:space="preserve">
6/17 上UPC贴纸 750pcs
168705/168594/168463共用</t>
        </r>
      </text>
    </comment>
    <comment ref="AG126" authorId="0">
      <text>
        <r>
          <rPr>
            <b/>
            <sz val="12"/>
            <rFont val="宋体"/>
            <charset val="134"/>
          </rPr>
          <t>Administrator:</t>
        </r>
        <r>
          <rPr>
            <sz val="12"/>
            <rFont val="宋体"/>
            <charset val="134"/>
          </rPr>
          <t xml:space="preserve">
6/17 上UPC贴纸 750pcs
168705/168594/168463共用</t>
        </r>
      </text>
    </comment>
    <comment ref="AD127" authorId="0">
      <text>
        <r>
          <rPr>
            <b/>
            <sz val="12"/>
            <rFont val="宋体"/>
            <charset val="134"/>
          </rPr>
          <t>Administrator:</t>
        </r>
        <r>
          <rPr>
            <sz val="12"/>
            <rFont val="宋体"/>
            <charset val="134"/>
          </rPr>
          <t xml:space="preserve">
3001699 7/8  12pcs 莫海军B4楼B9区
3001687 7/8 108pcs 莫海军B4楼B9区</t>
        </r>
      </text>
    </comment>
    <comment ref="AG127" authorId="0">
      <text>
        <r>
          <rPr>
            <b/>
            <sz val="12"/>
            <rFont val="宋体"/>
            <charset val="134"/>
          </rPr>
          <t>Administrator:</t>
        </r>
        <r>
          <rPr>
            <sz val="12"/>
            <rFont val="宋体"/>
            <charset val="134"/>
          </rPr>
          <t xml:space="preserve">
6/13 上空白UPC贴纸 240pcs
6/21 上客供亚马逊外箱贴纸 10pcs
6/26 业务与客人沟通取消铜版纸贴纸</t>
        </r>
      </text>
    </comment>
    <comment ref="AD129" authorId="0">
      <text>
        <r>
          <rPr>
            <b/>
            <sz val="12"/>
            <rFont val="宋体"/>
            <charset val="134"/>
          </rPr>
          <t>Administrator:</t>
        </r>
        <r>
          <rPr>
            <sz val="12"/>
            <rFont val="宋体"/>
            <charset val="134"/>
          </rPr>
          <t xml:space="preserve">
3001890 7/4 15套-散件</t>
        </r>
      </text>
    </comment>
    <comment ref="AD130" authorId="0">
      <text>
        <r>
          <rPr>
            <b/>
            <sz val="12"/>
            <rFont val="宋体"/>
            <charset val="134"/>
          </rPr>
          <t>Administrator:</t>
        </r>
        <r>
          <rPr>
            <sz val="12"/>
            <rFont val="宋体"/>
            <charset val="134"/>
          </rPr>
          <t xml:space="preserve">
3001634 7/11 2171pcs 华兴三A27</t>
        </r>
      </text>
    </comment>
    <comment ref="AG130" authorId="0">
      <text>
        <r>
          <rPr>
            <b/>
            <sz val="12"/>
            <rFont val="宋体"/>
            <charset val="134"/>
          </rPr>
          <t>Administrator:</t>
        </r>
        <r>
          <rPr>
            <sz val="12"/>
            <rFont val="宋体"/>
            <charset val="134"/>
          </rPr>
          <t xml:space="preserve">
6/21 上进口商贴纸 2171pcs
     上EAN条码贴纸 2171pcs
     上PDQ贴纸 167pcs
     上外箱贴纸 324pcs</t>
        </r>
      </text>
    </comment>
    <comment ref="AD131" authorId="0">
      <text>
        <r>
          <rPr>
            <b/>
            <sz val="12"/>
            <rFont val="宋体"/>
            <charset val="134"/>
          </rPr>
          <t>Administrator:</t>
        </r>
        <r>
          <rPr>
            <sz val="12"/>
            <rFont val="宋体"/>
            <charset val="134"/>
          </rPr>
          <t xml:space="preserve">
3001489 7/12 1040pcs 华兴三B10</t>
        </r>
      </text>
    </comment>
    <comment ref="AG131" authorId="0">
      <text>
        <r>
          <rPr>
            <b/>
            <sz val="12"/>
            <rFont val="宋体"/>
            <charset val="134"/>
          </rPr>
          <t>Administrator:</t>
        </r>
        <r>
          <rPr>
            <sz val="12"/>
            <rFont val="宋体"/>
            <charset val="134"/>
          </rPr>
          <t xml:space="preserve">
6/23 上进口商贴纸 1040pcs</t>
        </r>
      </text>
    </comment>
    <comment ref="AD132" authorId="0">
      <text>
        <r>
          <rPr>
            <b/>
            <sz val="12"/>
            <rFont val="宋体"/>
            <charset val="134"/>
          </rPr>
          <t>Administrator:</t>
        </r>
        <r>
          <rPr>
            <sz val="12"/>
            <rFont val="宋体"/>
            <charset val="134"/>
          </rPr>
          <t xml:space="preserve">
3001458 7/15 1200pcs 华兴三B14</t>
        </r>
      </text>
    </comment>
    <comment ref="AG132" authorId="0">
      <text>
        <r>
          <rPr>
            <b/>
            <sz val="12"/>
            <rFont val="宋体"/>
            <charset val="134"/>
          </rPr>
          <t>Administrator:</t>
        </r>
        <r>
          <rPr>
            <sz val="12"/>
            <rFont val="宋体"/>
            <charset val="134"/>
          </rPr>
          <t xml:space="preserve">
6/20 上荷兰语警告语贴纸 1200pcs</t>
        </r>
      </text>
    </comment>
    <comment ref="AD133" authorId="0">
      <text>
        <r>
          <rPr>
            <b/>
            <sz val="12"/>
            <rFont val="宋体"/>
            <charset val="134"/>
          </rPr>
          <t>Administrator:</t>
        </r>
        <r>
          <rPr>
            <sz val="12"/>
            <rFont val="宋体"/>
            <charset val="134"/>
          </rPr>
          <t xml:space="preserve">
3001448 7/15 456pcs 华兴三A22</t>
        </r>
      </text>
    </comment>
    <comment ref="AG134" authorId="0">
      <text>
        <r>
          <rPr>
            <b/>
            <sz val="12"/>
            <rFont val="宋体"/>
            <charset val="134"/>
          </rPr>
          <t>Administrator:</t>
        </r>
        <r>
          <rPr>
            <sz val="12"/>
            <rFont val="宋体"/>
            <charset val="134"/>
          </rPr>
          <t xml:space="preserve">
6/28 上空白UPC贴纸 240pcs</t>
        </r>
      </text>
    </comment>
    <comment ref="AG135" authorId="0">
      <text>
        <r>
          <rPr>
            <b/>
            <sz val="12"/>
            <rFont val="宋体"/>
            <charset val="134"/>
          </rPr>
          <t>Administrator:</t>
        </r>
        <r>
          <rPr>
            <sz val="12"/>
            <rFont val="宋体"/>
            <charset val="134"/>
          </rPr>
          <t xml:space="preserve">
6/28 上空白UPC贴纸 240pcs</t>
        </r>
      </text>
    </comment>
    <comment ref="AG136" authorId="0">
      <text>
        <r>
          <rPr>
            <b/>
            <sz val="12"/>
            <rFont val="宋体"/>
            <charset val="134"/>
          </rPr>
          <t>Administrator:</t>
        </r>
        <r>
          <rPr>
            <sz val="12"/>
            <rFont val="宋体"/>
            <charset val="134"/>
          </rPr>
          <t xml:space="preserve">
6/28 上空白UPC贴纸 240pcs</t>
        </r>
      </text>
    </comment>
    <comment ref="AG137" authorId="0">
      <text>
        <r>
          <rPr>
            <b/>
            <sz val="12"/>
            <rFont val="宋体"/>
            <charset val="134"/>
          </rPr>
          <t>Administrator:</t>
        </r>
        <r>
          <rPr>
            <sz val="12"/>
            <rFont val="宋体"/>
            <charset val="134"/>
          </rPr>
          <t xml:space="preserve">
6/28 上空白UPC贴纸 240pcs</t>
        </r>
      </text>
    </comment>
    <comment ref="AG138" authorId="0">
      <text>
        <r>
          <rPr>
            <b/>
            <sz val="12"/>
            <rFont val="宋体"/>
            <charset val="134"/>
          </rPr>
          <t>Administrator:</t>
        </r>
        <r>
          <rPr>
            <sz val="12"/>
            <rFont val="宋体"/>
            <charset val="134"/>
          </rPr>
          <t xml:space="preserve">
6/28 上空白UPC贴纸 240pcs</t>
        </r>
      </text>
    </comment>
    <comment ref="AG139" authorId="0">
      <text>
        <r>
          <rPr>
            <b/>
            <sz val="12"/>
            <rFont val="宋体"/>
            <charset val="134"/>
          </rPr>
          <t>Administrator:</t>
        </r>
        <r>
          <rPr>
            <sz val="12"/>
            <rFont val="宋体"/>
            <charset val="134"/>
          </rPr>
          <t xml:space="preserve">
6/28 上空白UPC贴纸 240pcs</t>
        </r>
      </text>
    </comment>
    <comment ref="AG140" authorId="0">
      <text>
        <r>
          <rPr>
            <b/>
            <sz val="12"/>
            <rFont val="宋体"/>
            <charset val="134"/>
          </rPr>
          <t>Administrator:</t>
        </r>
        <r>
          <rPr>
            <sz val="12"/>
            <rFont val="宋体"/>
            <charset val="134"/>
          </rPr>
          <t xml:space="preserve">
6/28 上空白UPC贴纸 240pcs</t>
        </r>
      </text>
    </comment>
    <comment ref="AG141" authorId="0">
      <text>
        <r>
          <rPr>
            <b/>
            <sz val="12"/>
            <rFont val="宋体"/>
            <charset val="134"/>
          </rPr>
          <t>Administrator:</t>
        </r>
        <r>
          <rPr>
            <sz val="12"/>
            <rFont val="宋体"/>
            <charset val="134"/>
          </rPr>
          <t xml:space="preserve">
6/28 上空白UPC贴纸 240pcs</t>
        </r>
      </text>
    </comment>
    <comment ref="AG142" authorId="0">
      <text>
        <r>
          <rPr>
            <b/>
            <sz val="12"/>
            <rFont val="宋体"/>
            <charset val="134"/>
          </rPr>
          <t>Administrator:</t>
        </r>
        <r>
          <rPr>
            <sz val="12"/>
            <rFont val="宋体"/>
            <charset val="134"/>
          </rPr>
          <t xml:space="preserve">
6/28 上空白UPC贴纸 240pcs</t>
        </r>
      </text>
    </comment>
    <comment ref="AD143" authorId="0">
      <text>
        <r>
          <rPr>
            <b/>
            <sz val="12"/>
            <rFont val="宋体"/>
            <charset val="134"/>
          </rPr>
          <t>Administrator:</t>
        </r>
        <r>
          <rPr>
            <sz val="12"/>
            <rFont val="宋体"/>
            <charset val="134"/>
          </rPr>
          <t xml:space="preserve">
3002496 7/23 1080pcs 华兴三A16
3002433 7/24  24pcs  华兴三A16</t>
        </r>
      </text>
    </comment>
    <comment ref="AD144" authorId="0">
      <text>
        <r>
          <rPr>
            <b/>
            <sz val="12"/>
            <rFont val="宋体"/>
            <charset val="134"/>
          </rPr>
          <t>Administrator:</t>
        </r>
        <r>
          <rPr>
            <sz val="12"/>
            <rFont val="宋体"/>
            <charset val="134"/>
          </rPr>
          <t xml:space="preserve">
3002518 7/23 200pcs 莫海军B4楼A6区
</t>
        </r>
      </text>
    </comment>
    <comment ref="AG144" authorId="0">
      <text>
        <r>
          <rPr>
            <b/>
            <sz val="12"/>
            <rFont val="宋体"/>
            <charset val="134"/>
          </rPr>
          <t>Administrator:</t>
        </r>
        <r>
          <rPr>
            <sz val="12"/>
            <rFont val="宋体"/>
            <charset val="134"/>
          </rPr>
          <t xml:space="preserve">
6/30 上UPC条码贴纸 200pcs</t>
        </r>
      </text>
    </comment>
    <comment ref="AD145" authorId="0">
      <text>
        <r>
          <rPr>
            <b/>
            <sz val="12"/>
            <rFont val="宋体"/>
            <charset val="134"/>
          </rPr>
          <t>Administrator:</t>
        </r>
        <r>
          <rPr>
            <sz val="12"/>
            <rFont val="宋体"/>
            <charset val="134"/>
          </rPr>
          <t xml:space="preserve">
3002444 7/24  50pcs  华兴三B8
3002433 7/24 5350pcs 华兴三B8</t>
        </r>
      </text>
    </comment>
    <comment ref="AD146" authorId="0">
      <text>
        <r>
          <rPr>
            <b/>
            <sz val="12"/>
            <rFont val="宋体"/>
            <charset val="134"/>
          </rPr>
          <t>Administrator:</t>
        </r>
        <r>
          <rPr>
            <sz val="12"/>
            <rFont val="宋体"/>
            <charset val="134"/>
          </rPr>
          <t xml:space="preserve">
3002503 7/24 400pcs 莫海军B4楼A6区</t>
        </r>
      </text>
    </comment>
    <comment ref="AG146" authorId="0">
      <text>
        <r>
          <rPr>
            <b/>
            <sz val="12"/>
            <rFont val="宋体"/>
            <charset val="134"/>
          </rPr>
          <t>Administrator:</t>
        </r>
        <r>
          <rPr>
            <sz val="12"/>
            <rFont val="宋体"/>
            <charset val="134"/>
          </rPr>
          <t xml:space="preserve">
7/10 上客供价标贴纸 431pcs</t>
        </r>
      </text>
    </comment>
    <comment ref="AD147" authorId="0">
      <text>
        <r>
          <rPr>
            <b/>
            <sz val="12"/>
            <rFont val="宋体"/>
            <charset val="134"/>
          </rPr>
          <t>Administrator:</t>
        </r>
        <r>
          <rPr>
            <sz val="12"/>
            <rFont val="宋体"/>
            <charset val="134"/>
          </rPr>
          <t xml:space="preserve">
3002481 7/26 24pcs 华兴三B11</t>
        </r>
      </text>
    </comment>
    <comment ref="AG147" authorId="0">
      <text>
        <r>
          <rPr>
            <b/>
            <sz val="12"/>
            <rFont val="宋体"/>
            <charset val="134"/>
          </rPr>
          <t>Administrator:</t>
        </r>
        <r>
          <rPr>
            <sz val="12"/>
            <rFont val="宋体"/>
            <charset val="134"/>
          </rPr>
          <t xml:space="preserve">
7/11 上亚马逊外箱贴纸 1pcs</t>
        </r>
      </text>
    </comment>
    <comment ref="AD148" authorId="0">
      <text>
        <r>
          <rPr>
            <b/>
            <sz val="12"/>
            <rFont val="宋体"/>
            <charset val="134"/>
          </rPr>
          <t>Administrator:</t>
        </r>
        <r>
          <rPr>
            <sz val="12"/>
            <rFont val="宋体"/>
            <charset val="134"/>
          </rPr>
          <t xml:space="preserve">
3002154 8/2 600pcs 新仓库一A5</t>
        </r>
      </text>
    </comment>
    <comment ref="AG148" authorId="0">
      <text>
        <r>
          <rPr>
            <b/>
            <sz val="12"/>
            <rFont val="宋体"/>
            <charset val="134"/>
          </rPr>
          <t>Administrator:</t>
        </r>
        <r>
          <rPr>
            <sz val="12"/>
            <rFont val="宋体"/>
            <charset val="134"/>
          </rPr>
          <t xml:space="preserve">
7/16 上客供价格贴纸 660pcs</t>
        </r>
      </text>
    </comment>
    <comment ref="AD149" authorId="0">
      <text>
        <r>
          <rPr>
            <b/>
            <sz val="12"/>
            <rFont val="宋体"/>
            <charset val="134"/>
          </rPr>
          <t>Administrator:</t>
        </r>
        <r>
          <rPr>
            <sz val="12"/>
            <rFont val="宋体"/>
            <charset val="134"/>
          </rPr>
          <t xml:space="preserve">
3002154 8/2 1800pcs 新仓库一A5</t>
        </r>
      </text>
    </comment>
    <comment ref="AG149" authorId="0">
      <text>
        <r>
          <rPr>
            <b/>
            <sz val="12"/>
            <rFont val="宋体"/>
            <charset val="134"/>
          </rPr>
          <t>Administrator:</t>
        </r>
        <r>
          <rPr>
            <sz val="12"/>
            <rFont val="宋体"/>
            <charset val="134"/>
          </rPr>
          <t xml:space="preserve">
7/16 上客供价格贴纸 1980pcs</t>
        </r>
      </text>
    </comment>
    <comment ref="AD150" authorId="0">
      <text>
        <r>
          <rPr>
            <b/>
            <sz val="12"/>
            <rFont val="宋体"/>
            <charset val="134"/>
          </rPr>
          <t>Administrator:</t>
        </r>
        <r>
          <rPr>
            <sz val="12"/>
            <rFont val="宋体"/>
            <charset val="134"/>
          </rPr>
          <t xml:space="preserve">
3002154 8/2 1200pcs 新仓库一A5</t>
        </r>
      </text>
    </comment>
    <comment ref="AG150" authorId="0">
      <text>
        <r>
          <rPr>
            <b/>
            <sz val="12"/>
            <rFont val="宋体"/>
            <charset val="134"/>
          </rPr>
          <t>Administrator:</t>
        </r>
        <r>
          <rPr>
            <sz val="12"/>
            <rFont val="宋体"/>
            <charset val="134"/>
          </rPr>
          <t xml:space="preserve">
7/16 上客供价格贴纸 1320pcs</t>
        </r>
      </text>
    </comment>
    <comment ref="AD151" authorId="0">
      <text>
        <r>
          <rPr>
            <b/>
            <sz val="12"/>
            <rFont val="宋体"/>
            <charset val="134"/>
          </rPr>
          <t>Administrator:</t>
        </r>
        <r>
          <rPr>
            <sz val="12"/>
            <rFont val="宋体"/>
            <charset val="134"/>
          </rPr>
          <t xml:space="preserve">
3002146 8/2 1596pcs 华兴三7</t>
        </r>
      </text>
    </comment>
    <comment ref="AG151" authorId="0">
      <text>
        <r>
          <rPr>
            <b/>
            <sz val="12"/>
            <rFont val="宋体"/>
            <charset val="134"/>
          </rPr>
          <t>Administrator:</t>
        </r>
        <r>
          <rPr>
            <sz val="12"/>
            <rFont val="宋体"/>
            <charset val="134"/>
          </rPr>
          <t xml:space="preserve">
7/16 上客供价格贴纸 1756pcs</t>
        </r>
      </text>
    </comment>
    <comment ref="AD152" authorId="0">
      <text>
        <r>
          <rPr>
            <b/>
            <sz val="12"/>
            <rFont val="宋体"/>
            <charset val="134"/>
          </rPr>
          <t>Administrator:</t>
        </r>
        <r>
          <rPr>
            <sz val="12"/>
            <rFont val="宋体"/>
            <charset val="134"/>
          </rPr>
          <t xml:space="preserve">
3002154 8/2 996pcs 新仓库一A5</t>
        </r>
      </text>
    </comment>
    <comment ref="AG152" authorId="0">
      <text>
        <r>
          <rPr>
            <b/>
            <sz val="12"/>
            <rFont val="宋体"/>
            <charset val="134"/>
          </rPr>
          <t>Administrator:</t>
        </r>
        <r>
          <rPr>
            <sz val="12"/>
            <rFont val="宋体"/>
            <charset val="134"/>
          </rPr>
          <t xml:space="preserve">
7/16 上客供价格贴纸 1096pcs</t>
        </r>
      </text>
    </comment>
    <comment ref="AD153" authorId="0">
      <text>
        <r>
          <rPr>
            <b/>
            <sz val="12"/>
            <rFont val="宋体"/>
            <charset val="134"/>
          </rPr>
          <t>Administrator:</t>
        </r>
        <r>
          <rPr>
            <sz val="12"/>
            <rFont val="宋体"/>
            <charset val="134"/>
          </rPr>
          <t xml:space="preserve">
3002169 8/2 1200pcs 华兴三B11</t>
        </r>
      </text>
    </comment>
    <comment ref="AG153" authorId="0">
      <text>
        <r>
          <rPr>
            <b/>
            <sz val="12"/>
            <rFont val="宋体"/>
            <charset val="134"/>
          </rPr>
          <t>Administrator:</t>
        </r>
        <r>
          <rPr>
            <sz val="12"/>
            <rFont val="宋体"/>
            <charset val="134"/>
          </rPr>
          <t xml:space="preserve">
7/16 上客供价格贴纸 1320pcs</t>
        </r>
      </text>
    </comment>
    <comment ref="AD154" authorId="0">
      <text>
        <r>
          <rPr>
            <b/>
            <sz val="12"/>
            <rFont val="宋体"/>
            <charset val="134"/>
          </rPr>
          <t>Administrator:</t>
        </r>
        <r>
          <rPr>
            <sz val="12"/>
            <rFont val="宋体"/>
            <charset val="134"/>
          </rPr>
          <t xml:space="preserve">
3002146 8/2 996pcs 华兴三A16</t>
        </r>
      </text>
    </comment>
    <comment ref="AG154" authorId="0">
      <text>
        <r>
          <rPr>
            <b/>
            <sz val="12"/>
            <rFont val="宋体"/>
            <charset val="134"/>
          </rPr>
          <t>Administrator:</t>
        </r>
        <r>
          <rPr>
            <sz val="12"/>
            <rFont val="宋体"/>
            <charset val="134"/>
          </rPr>
          <t xml:space="preserve">
7/16 上客供价格贴纸 1096pcs</t>
        </r>
      </text>
    </comment>
    <comment ref="AD155" authorId="0">
      <text>
        <r>
          <rPr>
            <b/>
            <sz val="12"/>
            <rFont val="宋体"/>
            <charset val="134"/>
          </rPr>
          <t>Administrator:</t>
        </r>
        <r>
          <rPr>
            <sz val="12"/>
            <rFont val="宋体"/>
            <charset val="134"/>
          </rPr>
          <t xml:space="preserve">
3002141 8/2 600pcs 华兴三A24</t>
        </r>
      </text>
    </comment>
    <comment ref="AG155" authorId="0">
      <text>
        <r>
          <rPr>
            <b/>
            <sz val="12"/>
            <rFont val="宋体"/>
            <charset val="134"/>
          </rPr>
          <t>Administrator:</t>
        </r>
        <r>
          <rPr>
            <sz val="12"/>
            <rFont val="宋体"/>
            <charset val="134"/>
          </rPr>
          <t xml:space="preserve">
7/16 上客供价格贴纸 660pcs</t>
        </r>
      </text>
    </comment>
    <comment ref="AD156" authorId="0">
      <text>
        <r>
          <rPr>
            <b/>
            <sz val="12"/>
            <rFont val="宋体"/>
            <charset val="134"/>
          </rPr>
          <t>Administrator:</t>
        </r>
        <r>
          <rPr>
            <sz val="12"/>
            <rFont val="宋体"/>
            <charset val="134"/>
          </rPr>
          <t xml:space="preserve">
3002146 8/2 1800pcs 华兴三A12</t>
        </r>
      </text>
    </comment>
    <comment ref="AG156" authorId="0">
      <text>
        <r>
          <rPr>
            <b/>
            <sz val="12"/>
            <rFont val="宋体"/>
            <charset val="134"/>
          </rPr>
          <t>Administrator:</t>
        </r>
        <r>
          <rPr>
            <sz val="12"/>
            <rFont val="宋体"/>
            <charset val="134"/>
          </rPr>
          <t xml:space="preserve">
7/16 上客供价格贴纸 1980pcs</t>
        </r>
      </text>
    </comment>
    <comment ref="AD157" authorId="0">
      <text>
        <r>
          <rPr>
            <b/>
            <sz val="12"/>
            <rFont val="宋体"/>
            <charset val="134"/>
          </rPr>
          <t>Administrator:</t>
        </r>
        <r>
          <rPr>
            <sz val="12"/>
            <rFont val="宋体"/>
            <charset val="134"/>
          </rPr>
          <t xml:space="preserve">
3002154 8/2 1596pcs 新仓库一A5</t>
        </r>
      </text>
    </comment>
    <comment ref="AG157" authorId="0">
      <text>
        <r>
          <rPr>
            <b/>
            <sz val="12"/>
            <rFont val="宋体"/>
            <charset val="134"/>
          </rPr>
          <t>Administrator:</t>
        </r>
        <r>
          <rPr>
            <sz val="12"/>
            <rFont val="宋体"/>
            <charset val="134"/>
          </rPr>
          <t xml:space="preserve">
7/16 上客供价格贴纸 1756pcs</t>
        </r>
      </text>
    </comment>
    <comment ref="AD158" authorId="0">
      <text>
        <r>
          <rPr>
            <b/>
            <sz val="12"/>
            <rFont val="宋体"/>
            <charset val="134"/>
          </rPr>
          <t>Administrator:</t>
        </r>
        <r>
          <rPr>
            <sz val="12"/>
            <rFont val="宋体"/>
            <charset val="134"/>
          </rPr>
          <t xml:space="preserve">
3002021 8/1 896pcs 华兴三A12</t>
        </r>
      </text>
    </comment>
    <comment ref="AG158" authorId="0">
      <text>
        <r>
          <rPr>
            <b/>
            <sz val="12"/>
            <rFont val="宋体"/>
            <charset val="134"/>
          </rPr>
          <t>Administrator:</t>
        </r>
        <r>
          <rPr>
            <sz val="12"/>
            <rFont val="宋体"/>
            <charset val="134"/>
          </rPr>
          <t xml:space="preserve">
7/16 上客供价格贴纸 986pcs</t>
        </r>
      </text>
    </comment>
    <comment ref="AD159" authorId="0">
      <text>
        <r>
          <rPr>
            <b/>
            <sz val="12"/>
            <rFont val="宋体"/>
            <charset val="134"/>
          </rPr>
          <t>Administrator:</t>
        </r>
        <r>
          <rPr>
            <sz val="12"/>
            <rFont val="宋体"/>
            <charset val="134"/>
          </rPr>
          <t xml:space="preserve">
3002021 8/1 1200pcs 华兴三B14</t>
        </r>
      </text>
    </comment>
    <comment ref="AG159" authorId="0">
      <text>
        <r>
          <rPr>
            <b/>
            <sz val="12"/>
            <rFont val="宋体"/>
            <charset val="134"/>
          </rPr>
          <t>Administrator:</t>
        </r>
        <r>
          <rPr>
            <sz val="12"/>
            <rFont val="宋体"/>
            <charset val="134"/>
          </rPr>
          <t xml:space="preserve">
7/16 上客供价格贴纸 1320pcs</t>
        </r>
      </text>
    </comment>
    <comment ref="AD160" authorId="0">
      <text>
        <r>
          <rPr>
            <b/>
            <sz val="12"/>
            <rFont val="宋体"/>
            <charset val="134"/>
          </rPr>
          <t>Administrator:</t>
        </r>
        <r>
          <rPr>
            <sz val="12"/>
            <rFont val="宋体"/>
            <charset val="134"/>
          </rPr>
          <t xml:space="preserve">
3002021 8/1 896pcs 华兴三A15</t>
        </r>
      </text>
    </comment>
    <comment ref="AG160" authorId="0">
      <text>
        <r>
          <rPr>
            <b/>
            <sz val="12"/>
            <rFont val="宋体"/>
            <charset val="134"/>
          </rPr>
          <t>Administrator:</t>
        </r>
        <r>
          <rPr>
            <sz val="12"/>
            <rFont val="宋体"/>
            <charset val="134"/>
          </rPr>
          <t xml:space="preserve">
7/16 上客供价格贴纸 986pcs</t>
        </r>
      </text>
    </comment>
    <comment ref="AD161" authorId="0">
      <text>
        <r>
          <rPr>
            <b/>
            <sz val="12"/>
            <rFont val="宋体"/>
            <charset val="134"/>
          </rPr>
          <t>Administrator:</t>
        </r>
        <r>
          <rPr>
            <sz val="12"/>
            <rFont val="宋体"/>
            <charset val="134"/>
          </rPr>
          <t xml:space="preserve">
3002024 8/1 1200pcs 华兴三A15</t>
        </r>
      </text>
    </comment>
    <comment ref="AG161" authorId="0">
      <text>
        <r>
          <rPr>
            <b/>
            <sz val="12"/>
            <rFont val="宋体"/>
            <charset val="134"/>
          </rPr>
          <t>Administrator:</t>
        </r>
        <r>
          <rPr>
            <sz val="12"/>
            <rFont val="宋体"/>
            <charset val="134"/>
          </rPr>
          <t xml:space="preserve">
7/16 上客供价格贴纸 1320pcs</t>
        </r>
      </text>
    </comment>
    <comment ref="AD162" authorId="0">
      <text>
        <r>
          <rPr>
            <b/>
            <sz val="12"/>
            <rFont val="宋体"/>
            <charset val="134"/>
          </rPr>
          <t>Administrator:</t>
        </r>
        <r>
          <rPr>
            <sz val="12"/>
            <rFont val="宋体"/>
            <charset val="134"/>
          </rPr>
          <t xml:space="preserve">
3002161 8/1 600pcs 华兴三A13</t>
        </r>
      </text>
    </comment>
    <comment ref="AG162" authorId="0">
      <text>
        <r>
          <rPr>
            <b/>
            <sz val="12"/>
            <rFont val="宋体"/>
            <charset val="134"/>
          </rPr>
          <t>Administrator:</t>
        </r>
        <r>
          <rPr>
            <sz val="12"/>
            <rFont val="宋体"/>
            <charset val="134"/>
          </rPr>
          <t xml:space="preserve">
7/16 上客供价格贴纸 660pcs</t>
        </r>
      </text>
    </comment>
    <comment ref="AD163" authorId="0">
      <text>
        <r>
          <rPr>
            <b/>
            <sz val="12"/>
            <rFont val="宋体"/>
            <charset val="134"/>
          </rPr>
          <t>Administrator:</t>
        </r>
        <r>
          <rPr>
            <sz val="12"/>
            <rFont val="宋体"/>
            <charset val="134"/>
          </rPr>
          <t xml:space="preserve">
3002021 8/1 800pcs 华兴三A13</t>
        </r>
      </text>
    </comment>
    <comment ref="AG163" authorId="0">
      <text>
        <r>
          <rPr>
            <b/>
            <sz val="12"/>
            <rFont val="宋体"/>
            <charset val="134"/>
          </rPr>
          <t>Administrator:</t>
        </r>
        <r>
          <rPr>
            <sz val="12"/>
            <rFont val="宋体"/>
            <charset val="134"/>
          </rPr>
          <t xml:space="preserve">
7/16 上客供价格贴纸 880pcs</t>
        </r>
      </text>
    </comment>
    <comment ref="AD164" authorId="0">
      <text>
        <r>
          <rPr>
            <b/>
            <sz val="12"/>
            <rFont val="宋体"/>
            <charset val="134"/>
          </rPr>
          <t>Administrator:</t>
        </r>
        <r>
          <rPr>
            <sz val="12"/>
            <rFont val="宋体"/>
            <charset val="134"/>
          </rPr>
          <t xml:space="preserve">
3002021 8/1 1000pcs 华兴三A14</t>
        </r>
      </text>
    </comment>
    <comment ref="AG164" authorId="0">
      <text>
        <r>
          <rPr>
            <b/>
            <sz val="12"/>
            <rFont val="宋体"/>
            <charset val="134"/>
          </rPr>
          <t>Administrator:</t>
        </r>
        <r>
          <rPr>
            <sz val="12"/>
            <rFont val="宋体"/>
            <charset val="134"/>
          </rPr>
          <t xml:space="preserve">
7/16 上客供价格贴纸 1100pcs</t>
        </r>
      </text>
    </comment>
    <comment ref="AD165" authorId="0">
      <text>
        <r>
          <rPr>
            <b/>
            <sz val="12"/>
            <rFont val="宋体"/>
            <charset val="134"/>
          </rPr>
          <t>Administrator:</t>
        </r>
        <r>
          <rPr>
            <sz val="12"/>
            <rFont val="宋体"/>
            <charset val="134"/>
          </rPr>
          <t xml:space="preserve">
3002024 8/1 600pcs 华兴三A15</t>
        </r>
      </text>
    </comment>
    <comment ref="AG165" authorId="0">
      <text>
        <r>
          <rPr>
            <b/>
            <sz val="12"/>
            <rFont val="宋体"/>
            <charset val="134"/>
          </rPr>
          <t>Administrator:</t>
        </r>
        <r>
          <rPr>
            <sz val="12"/>
            <rFont val="宋体"/>
            <charset val="134"/>
          </rPr>
          <t xml:space="preserve">
7/16 上客供价格贴纸 660pcs</t>
        </r>
      </text>
    </comment>
    <comment ref="AD166" authorId="0">
      <text>
        <r>
          <rPr>
            <b/>
            <sz val="12"/>
            <rFont val="宋体"/>
            <charset val="134"/>
          </rPr>
          <t>Administrator:</t>
        </r>
        <r>
          <rPr>
            <sz val="12"/>
            <rFont val="宋体"/>
            <charset val="134"/>
          </rPr>
          <t xml:space="preserve">
3002024 8/1 600pcs 华兴三A15</t>
        </r>
      </text>
    </comment>
    <comment ref="AG166" authorId="0">
      <text>
        <r>
          <rPr>
            <b/>
            <sz val="12"/>
            <rFont val="宋体"/>
            <charset val="134"/>
          </rPr>
          <t>Administrator:</t>
        </r>
        <r>
          <rPr>
            <sz val="12"/>
            <rFont val="宋体"/>
            <charset val="134"/>
          </rPr>
          <t xml:space="preserve">
7/16 上客供价格贴纸 660pcs</t>
        </r>
      </text>
    </comment>
    <comment ref="AD167" authorId="0">
      <text>
        <r>
          <rPr>
            <b/>
            <sz val="12"/>
            <rFont val="宋体"/>
            <charset val="134"/>
          </rPr>
          <t>Administrator:</t>
        </r>
        <r>
          <rPr>
            <sz val="12"/>
            <rFont val="宋体"/>
            <charset val="134"/>
          </rPr>
          <t xml:space="preserve">
3002021 8/1 896pcs 华兴三A14</t>
        </r>
      </text>
    </comment>
    <comment ref="AG167" authorId="0">
      <text>
        <r>
          <rPr>
            <b/>
            <sz val="12"/>
            <rFont val="宋体"/>
            <charset val="134"/>
          </rPr>
          <t>Administrator:</t>
        </r>
        <r>
          <rPr>
            <sz val="12"/>
            <rFont val="宋体"/>
            <charset val="134"/>
          </rPr>
          <t xml:space="preserve">
7/16 上客供价格贴纸 986pcs</t>
        </r>
      </text>
    </comment>
    <comment ref="AD168" authorId="0">
      <text>
        <r>
          <rPr>
            <b/>
            <sz val="12"/>
            <rFont val="宋体"/>
            <charset val="134"/>
          </rPr>
          <t>Administrator:</t>
        </r>
        <r>
          <rPr>
            <sz val="12"/>
            <rFont val="宋体"/>
            <charset val="134"/>
          </rPr>
          <t xml:space="preserve">
3002161 8/1 1000pcs 华兴三A13 </t>
        </r>
      </text>
    </comment>
    <comment ref="AG168" authorId="0">
      <text>
        <r>
          <rPr>
            <b/>
            <sz val="12"/>
            <rFont val="宋体"/>
            <charset val="134"/>
          </rPr>
          <t>Administrator:</t>
        </r>
        <r>
          <rPr>
            <sz val="12"/>
            <rFont val="宋体"/>
            <charset val="134"/>
          </rPr>
          <t xml:space="preserve">
7/16 上客供价格贴纸 1100pcs</t>
        </r>
      </text>
    </comment>
    <comment ref="AD169" authorId="0">
      <text>
        <r>
          <rPr>
            <b/>
            <sz val="12"/>
            <rFont val="宋体"/>
            <charset val="134"/>
          </rPr>
          <t>Administrator:</t>
        </r>
        <r>
          <rPr>
            <sz val="12"/>
            <rFont val="宋体"/>
            <charset val="134"/>
          </rPr>
          <t xml:space="preserve">
3002021 8/1 1000pcs 华兴三A14</t>
        </r>
      </text>
    </comment>
    <comment ref="AG169" authorId="0">
      <text>
        <r>
          <rPr>
            <b/>
            <sz val="12"/>
            <rFont val="宋体"/>
            <charset val="134"/>
          </rPr>
          <t>Administrator:</t>
        </r>
        <r>
          <rPr>
            <sz val="12"/>
            <rFont val="宋体"/>
            <charset val="134"/>
          </rPr>
          <t xml:space="preserve">
7/16 上客供价格贴纸 1100pcs</t>
        </r>
      </text>
    </comment>
    <comment ref="AD170" authorId="0">
      <text>
        <r>
          <rPr>
            <b/>
            <sz val="12"/>
            <rFont val="宋体"/>
            <charset val="134"/>
          </rPr>
          <t>Administrator:</t>
        </r>
        <r>
          <rPr>
            <sz val="12"/>
            <rFont val="宋体"/>
            <charset val="134"/>
          </rPr>
          <t xml:space="preserve">
3002141 8/2 950pcs 已走货</t>
        </r>
      </text>
    </comment>
    <comment ref="AD171" authorId="0">
      <text>
        <r>
          <rPr>
            <b/>
            <sz val="12"/>
            <rFont val="宋体"/>
            <charset val="134"/>
          </rPr>
          <t>Administrator:</t>
        </r>
        <r>
          <rPr>
            <sz val="12"/>
            <rFont val="宋体"/>
            <charset val="134"/>
          </rPr>
          <t xml:space="preserve">
3002141 8/2 250pcs 已走货
</t>
        </r>
      </text>
    </comment>
    <comment ref="AG171" authorId="0">
      <text>
        <r>
          <rPr>
            <b/>
            <sz val="12"/>
            <rFont val="宋体"/>
            <charset val="134"/>
          </rPr>
          <t>Administrator:</t>
        </r>
        <r>
          <rPr>
            <sz val="12"/>
            <rFont val="宋体"/>
            <charset val="134"/>
          </rPr>
          <t xml:space="preserve">
7/8 上UPC贴纸 2650pcs
171335/171342共用
7/16 上客供价格贴纸 275pcs</t>
        </r>
      </text>
    </comment>
    <comment ref="AD172" authorId="0">
      <text>
        <r>
          <rPr>
            <b/>
            <sz val="12"/>
            <rFont val="宋体"/>
            <charset val="134"/>
          </rPr>
          <t>Administrator:</t>
        </r>
        <r>
          <rPr>
            <sz val="12"/>
            <rFont val="宋体"/>
            <charset val="134"/>
          </rPr>
          <t xml:space="preserve">
3002141 8/2 950pcs 已走货
</t>
        </r>
      </text>
    </comment>
    <comment ref="AG172" authorId="0">
      <text>
        <r>
          <rPr>
            <b/>
            <sz val="12"/>
            <rFont val="宋体"/>
            <charset val="134"/>
          </rPr>
          <t>Administrator:</t>
        </r>
        <r>
          <rPr>
            <sz val="12"/>
            <rFont val="宋体"/>
            <charset val="134"/>
          </rPr>
          <t xml:space="preserve">
7/8 上UPC贴纸 2650pcs
171335/171342共用
7/16 上客供价格贴纸 1045pcs</t>
        </r>
      </text>
    </comment>
    <comment ref="AD173" authorId="0">
      <text>
        <r>
          <rPr>
            <b/>
            <sz val="12"/>
            <rFont val="宋体"/>
            <charset val="134"/>
          </rPr>
          <t>Administrator:</t>
        </r>
        <r>
          <rPr>
            <sz val="12"/>
            <rFont val="宋体"/>
            <charset val="134"/>
          </rPr>
          <t xml:space="preserve">
3002141 8/2 250pcs 已走货
</t>
        </r>
      </text>
    </comment>
    <comment ref="AG173" authorId="0">
      <text>
        <r>
          <rPr>
            <b/>
            <sz val="12"/>
            <rFont val="宋体"/>
            <charset val="134"/>
          </rPr>
          <t>Administrator:</t>
        </r>
        <r>
          <rPr>
            <sz val="12"/>
            <rFont val="宋体"/>
            <charset val="134"/>
          </rPr>
          <t xml:space="preserve">
7/8 上UPC贴纸 2650pcs
171335/171342共用
7/16 上客供价格贴纸 275pcs</t>
        </r>
      </text>
    </comment>
    <comment ref="AD174" authorId="0">
      <text>
        <r>
          <rPr>
            <b/>
            <sz val="12"/>
            <rFont val="宋体"/>
            <charset val="134"/>
          </rPr>
          <t>Administrator:</t>
        </r>
        <r>
          <rPr>
            <sz val="12"/>
            <rFont val="宋体"/>
            <charset val="134"/>
          </rPr>
          <t xml:space="preserve">
3002141 8/2 150pcs 已走货
</t>
        </r>
      </text>
    </comment>
    <comment ref="AG174" authorId="0">
      <text>
        <r>
          <rPr>
            <b/>
            <sz val="12"/>
            <rFont val="宋体"/>
            <charset val="134"/>
          </rPr>
          <t>Administrator:</t>
        </r>
        <r>
          <rPr>
            <sz val="12"/>
            <rFont val="宋体"/>
            <charset val="134"/>
          </rPr>
          <t xml:space="preserve">
7/8 上UPC贴纸 2650pcs
171335/171342共用
7/16 上客供价格贴纸 165pcs</t>
        </r>
      </text>
    </comment>
    <comment ref="AD175" authorId="0">
      <text>
        <r>
          <rPr>
            <b/>
            <sz val="12"/>
            <rFont val="宋体"/>
            <charset val="134"/>
          </rPr>
          <t>Administrator:</t>
        </r>
        <r>
          <rPr>
            <sz val="12"/>
            <rFont val="宋体"/>
            <charset val="134"/>
          </rPr>
          <t xml:space="preserve">
3002141 8/2 100pcs 已走货
</t>
        </r>
      </text>
    </comment>
    <comment ref="AG175" authorId="0">
      <text>
        <r>
          <rPr>
            <b/>
            <sz val="12"/>
            <rFont val="宋体"/>
            <charset val="134"/>
          </rPr>
          <t>Administrator:</t>
        </r>
        <r>
          <rPr>
            <sz val="12"/>
            <rFont val="宋体"/>
            <charset val="134"/>
          </rPr>
          <t xml:space="preserve">
7/8 上UPC贴纸 2650pcs
171335/171342共用
7/16 上客供价格 贴纸 110pcs</t>
        </r>
      </text>
    </comment>
    <comment ref="AD176" authorId="0">
      <text>
        <r>
          <rPr>
            <b/>
            <sz val="12"/>
            <rFont val="宋体"/>
            <charset val="134"/>
          </rPr>
          <t>Administrator:</t>
        </r>
        <r>
          <rPr>
            <sz val="12"/>
            <rFont val="宋体"/>
            <charset val="134"/>
          </rPr>
          <t xml:space="preserve">
3002387 8/5 2004pcs 莫海军B4楼A7区</t>
        </r>
      </text>
    </comment>
    <comment ref="AG176" authorId="0">
      <text>
        <r>
          <rPr>
            <b/>
            <sz val="12"/>
            <rFont val="宋体"/>
            <charset val="134"/>
          </rPr>
          <t>Administrator:</t>
        </r>
        <r>
          <rPr>
            <sz val="12"/>
            <rFont val="宋体"/>
            <charset val="134"/>
          </rPr>
          <t xml:space="preserve">
7/16 上客供价格贴纸 2100pcs</t>
        </r>
      </text>
    </comment>
    <comment ref="AD177" authorId="0">
      <text>
        <r>
          <rPr>
            <b/>
            <sz val="12"/>
            <rFont val="宋体"/>
            <charset val="134"/>
          </rPr>
          <t>Administrator:</t>
        </r>
        <r>
          <rPr>
            <sz val="12"/>
            <rFont val="宋体"/>
            <charset val="134"/>
          </rPr>
          <t xml:space="preserve">
3002358 8/6 500pcs 华兴三A27</t>
        </r>
      </text>
    </comment>
    <comment ref="AD178" authorId="0">
      <text>
        <r>
          <rPr>
            <b/>
            <sz val="12"/>
            <rFont val="宋体"/>
            <charset val="134"/>
          </rPr>
          <t>Administrator:</t>
        </r>
        <r>
          <rPr>
            <sz val="12"/>
            <rFont val="宋体"/>
            <charset val="134"/>
          </rPr>
          <t xml:space="preserve">
3002319 8/7 2000pcs 莫海军A1楼A6区</t>
        </r>
      </text>
    </comment>
    <comment ref="AG178" authorId="0">
      <text>
        <r>
          <rPr>
            <b/>
            <sz val="12"/>
            <rFont val="宋体"/>
            <charset val="134"/>
          </rPr>
          <t>Administrator:</t>
        </r>
        <r>
          <rPr>
            <sz val="12"/>
            <rFont val="宋体"/>
            <charset val="134"/>
          </rPr>
          <t xml:space="preserve">
7/22 上UPC贴纸 2000pcs</t>
        </r>
      </text>
    </comment>
    <comment ref="AD179" authorId="0">
      <text>
        <r>
          <rPr>
            <b/>
            <sz val="12"/>
            <rFont val="宋体"/>
            <charset val="134"/>
          </rPr>
          <t>Administrator:</t>
        </r>
        <r>
          <rPr>
            <sz val="12"/>
            <rFont val="宋体"/>
            <charset val="134"/>
          </rPr>
          <t xml:space="preserve">
3002319 8/7 304pcs 莫海军A1楼A6区
</t>
        </r>
      </text>
    </comment>
    <comment ref="AG179" authorId="0">
      <text>
        <r>
          <rPr>
            <b/>
            <sz val="12"/>
            <rFont val="宋体"/>
            <charset val="134"/>
          </rPr>
          <t>Administrator:</t>
        </r>
        <r>
          <rPr>
            <sz val="12"/>
            <rFont val="宋体"/>
            <charset val="134"/>
          </rPr>
          <t xml:space="preserve">
7/10 上客供价格贴纸 342pcs</t>
        </r>
      </text>
    </comment>
    <comment ref="AD180" authorId="0">
      <text>
        <r>
          <rPr>
            <b/>
            <sz val="12"/>
            <rFont val="宋体"/>
            <charset val="134"/>
          </rPr>
          <t>Administrator:</t>
        </r>
        <r>
          <rPr>
            <sz val="12"/>
            <rFont val="宋体"/>
            <charset val="134"/>
          </rPr>
          <t xml:space="preserve">
3002348 8/6 800pcs 莫海军A1楼C10区</t>
        </r>
      </text>
    </comment>
    <comment ref="AG180" authorId="0">
      <text>
        <r>
          <rPr>
            <b/>
            <sz val="12"/>
            <rFont val="宋体"/>
            <charset val="134"/>
          </rPr>
          <t>Administrator:</t>
        </r>
        <r>
          <rPr>
            <sz val="12"/>
            <rFont val="宋体"/>
            <charset val="134"/>
          </rPr>
          <t xml:space="preserve">
7/18 上UPC条码贴纸 800pcs
     上进口商贴纸 800pcs</t>
        </r>
      </text>
    </comment>
    <comment ref="AD181" authorId="0">
      <text>
        <r>
          <rPr>
            <b/>
            <sz val="12"/>
            <rFont val="宋体"/>
            <charset val="134"/>
          </rPr>
          <t>Administrator:</t>
        </r>
        <r>
          <rPr>
            <sz val="12"/>
            <rFont val="宋体"/>
            <charset val="134"/>
          </rPr>
          <t xml:space="preserve">
4000273 8/9 5256pcs 莫海军B4楼B1区</t>
        </r>
      </text>
    </comment>
    <comment ref="AG181" authorId="0">
      <text>
        <r>
          <rPr>
            <b/>
            <sz val="12"/>
            <rFont val="宋体"/>
            <charset val="134"/>
          </rPr>
          <t>Administrator:</t>
        </r>
        <r>
          <rPr>
            <sz val="12"/>
            <rFont val="宋体"/>
            <charset val="134"/>
          </rPr>
          <t xml:space="preserve">
7/21 上进口商贴纸 16056pcs
     上空白条码贴纸 16056pcs
7/22 上价格贴纸 16056pcs</t>
        </r>
      </text>
    </comment>
    <comment ref="AD182" authorId="0">
      <text>
        <r>
          <rPr>
            <b/>
            <sz val="12"/>
            <rFont val="宋体"/>
            <charset val="134"/>
          </rPr>
          <t>Administrator:</t>
        </r>
        <r>
          <rPr>
            <sz val="12"/>
            <rFont val="宋体"/>
            <charset val="134"/>
          </rPr>
          <t xml:space="preserve">
4000273 8/9 708pcs 莫海军B4楼B1区
</t>
        </r>
      </text>
    </comment>
    <comment ref="AD183" authorId="0">
      <text>
        <r>
          <rPr>
            <b/>
            <sz val="12"/>
            <rFont val="宋体"/>
            <charset val="134"/>
          </rPr>
          <t>Administrator:</t>
        </r>
        <r>
          <rPr>
            <sz val="12"/>
            <rFont val="宋体"/>
            <charset val="134"/>
          </rPr>
          <t xml:space="preserve">
4000273 8/9 396pcs 莫海军B4楼B1区
</t>
        </r>
      </text>
    </comment>
    <comment ref="AD184" authorId="0">
      <text>
        <r>
          <rPr>
            <b/>
            <sz val="12"/>
            <rFont val="宋体"/>
            <charset val="134"/>
          </rPr>
          <t>Administrator:</t>
        </r>
        <r>
          <rPr>
            <sz val="12"/>
            <rFont val="宋体"/>
            <charset val="134"/>
          </rPr>
          <t xml:space="preserve">
4000273 8/9 480pcs 莫海军B4楼B1区
</t>
        </r>
      </text>
    </comment>
    <comment ref="AD185" authorId="0">
      <text>
        <r>
          <rPr>
            <b/>
            <sz val="12"/>
            <rFont val="宋体"/>
            <charset val="134"/>
          </rPr>
          <t>Administrator:</t>
        </r>
        <r>
          <rPr>
            <sz val="12"/>
            <rFont val="宋体"/>
            <charset val="134"/>
          </rPr>
          <t xml:space="preserve">
4000273 8/9 744pcs 莫海军B4楼B8区
</t>
        </r>
      </text>
    </comment>
    <comment ref="AD186" authorId="0">
      <text>
        <r>
          <rPr>
            <b/>
            <sz val="12"/>
            <rFont val="宋体"/>
            <charset val="134"/>
          </rPr>
          <t>Administrator:</t>
        </r>
        <r>
          <rPr>
            <sz val="12"/>
            <rFont val="宋体"/>
            <charset val="134"/>
          </rPr>
          <t xml:space="preserve">
4000273 8/9 180pcs 莫海军B4楼C8区
</t>
        </r>
      </text>
    </comment>
    <comment ref="AD187" authorId="0">
      <text>
        <r>
          <rPr>
            <b/>
            <sz val="12"/>
            <rFont val="宋体"/>
            <charset val="134"/>
          </rPr>
          <t>Administrator:</t>
        </r>
        <r>
          <rPr>
            <sz val="12"/>
            <rFont val="宋体"/>
            <charset val="134"/>
          </rPr>
          <t xml:space="preserve">
4000273 8/9 120pcs 莫海军B4楼C8区
</t>
        </r>
      </text>
    </comment>
    <comment ref="AD188" authorId="0">
      <text>
        <r>
          <rPr>
            <b/>
            <sz val="12"/>
            <rFont val="宋体"/>
            <charset val="134"/>
          </rPr>
          <t>Administrator:</t>
        </r>
        <r>
          <rPr>
            <sz val="12"/>
            <rFont val="宋体"/>
            <charset val="134"/>
          </rPr>
          <t xml:space="preserve">
4000273 8/9 144pcs 莫海军B4楼C8区
</t>
        </r>
      </text>
    </comment>
    <comment ref="AD189" authorId="0">
      <text>
        <r>
          <rPr>
            <b/>
            <sz val="12"/>
            <rFont val="宋体"/>
            <charset val="134"/>
          </rPr>
          <t>Administrator:</t>
        </r>
        <r>
          <rPr>
            <sz val="12"/>
            <rFont val="宋体"/>
            <charset val="134"/>
          </rPr>
          <t xml:space="preserve">
3002302 8/7 996pcs 莫海军B4楼A1区</t>
        </r>
      </text>
    </comment>
    <comment ref="AG189" authorId="0">
      <text>
        <r>
          <rPr>
            <b/>
            <sz val="12"/>
            <rFont val="宋体"/>
            <charset val="134"/>
          </rPr>
          <t>Administrator:</t>
        </r>
        <r>
          <rPr>
            <sz val="12"/>
            <rFont val="宋体"/>
            <charset val="134"/>
          </rPr>
          <t xml:space="preserve">
7/16 上客供价格贴纸 1096pcs</t>
        </r>
      </text>
    </comment>
    <comment ref="AD190" authorId="0">
      <text>
        <r>
          <rPr>
            <b/>
            <sz val="12"/>
            <rFont val="宋体"/>
            <charset val="134"/>
          </rPr>
          <t>Administrator:</t>
        </r>
        <r>
          <rPr>
            <sz val="12"/>
            <rFont val="宋体"/>
            <charset val="134"/>
          </rPr>
          <t xml:space="preserve">
4000267 8/8 1200pcs 新仓库一B7</t>
        </r>
      </text>
    </comment>
    <comment ref="AG190" authorId="0">
      <text>
        <r>
          <rPr>
            <b/>
            <sz val="12"/>
            <rFont val="宋体"/>
            <charset val="134"/>
          </rPr>
          <t>Administrator:</t>
        </r>
        <r>
          <rPr>
            <sz val="12"/>
            <rFont val="宋体"/>
            <charset val="134"/>
          </rPr>
          <t xml:space="preserve">
7/16 上客供价格贴纸 1320pcs</t>
        </r>
      </text>
    </comment>
    <comment ref="AD191" authorId="0">
      <text>
        <r>
          <rPr>
            <b/>
            <sz val="12"/>
            <rFont val="宋体"/>
            <charset val="134"/>
          </rPr>
          <t>Administrator:</t>
        </r>
        <r>
          <rPr>
            <sz val="12"/>
            <rFont val="宋体"/>
            <charset val="134"/>
          </rPr>
          <t xml:space="preserve">
4000349 8/12 2004pcs 新仓库一B8</t>
        </r>
      </text>
    </comment>
    <comment ref="AG191" authorId="0">
      <text>
        <r>
          <rPr>
            <b/>
            <sz val="12"/>
            <rFont val="宋体"/>
            <charset val="134"/>
          </rPr>
          <t>Administrator:</t>
        </r>
        <r>
          <rPr>
            <sz val="12"/>
            <rFont val="宋体"/>
            <charset val="134"/>
          </rPr>
          <t xml:space="preserve">
7/16 上客供价格贴纸 2100pcs</t>
        </r>
      </text>
    </comment>
    <comment ref="AD192" authorId="0">
      <text>
        <r>
          <rPr>
            <b/>
            <sz val="12"/>
            <rFont val="宋体"/>
            <charset val="134"/>
          </rPr>
          <t>Administrator:</t>
        </r>
        <r>
          <rPr>
            <sz val="12"/>
            <rFont val="宋体"/>
            <charset val="134"/>
          </rPr>
          <t xml:space="preserve">
400320 8/11 507pcs 莫海军B4楼C7区</t>
        </r>
      </text>
    </comment>
    <comment ref="AG192" authorId="0">
      <text>
        <r>
          <rPr>
            <b/>
            <sz val="12"/>
            <rFont val="宋体"/>
            <charset val="134"/>
          </rPr>
          <t>Administrator:</t>
        </r>
        <r>
          <rPr>
            <sz val="12"/>
            <rFont val="宋体"/>
            <charset val="134"/>
          </rPr>
          <t xml:space="preserve">
6/23 上进口商贴纸 507pcs
     上外箱贴纸 78pcs
     上PDQ贴纸 78pcs
     上EAN贴纸 507pcs
     上收藏指南贴纸 507pcs</t>
        </r>
      </text>
    </comment>
    <comment ref="AD193" authorId="0">
      <text>
        <r>
          <rPr>
            <b/>
            <sz val="12"/>
            <rFont val="宋体"/>
            <charset val="134"/>
          </rPr>
          <t>Administrator:</t>
        </r>
        <r>
          <rPr>
            <sz val="12"/>
            <rFont val="宋体"/>
            <charset val="134"/>
          </rPr>
          <t xml:space="preserve">
4000595 8/18 276pcs 华兴三B8</t>
        </r>
      </text>
    </comment>
    <comment ref="AG193" authorId="0">
      <text>
        <r>
          <rPr>
            <b/>
            <sz val="12"/>
            <rFont val="宋体"/>
            <charset val="134"/>
          </rPr>
          <t>Administrator:</t>
        </r>
        <r>
          <rPr>
            <sz val="12"/>
            <rFont val="宋体"/>
            <charset val="134"/>
          </rPr>
          <t xml:space="preserve">
8/1 上进口商贴纸 276pcs
    上空白贴纸 552pcs</t>
        </r>
      </text>
    </comment>
    <comment ref="AD194" authorId="0">
      <text>
        <r>
          <rPr>
            <b/>
            <sz val="12"/>
            <rFont val="宋体"/>
            <charset val="134"/>
          </rPr>
          <t>Administrator:</t>
        </r>
        <r>
          <rPr>
            <sz val="12"/>
            <rFont val="宋体"/>
            <charset val="134"/>
          </rPr>
          <t xml:space="preserve">
4000630 8/20 700pcs 新仓库一B8</t>
        </r>
      </text>
    </comment>
    <comment ref="AG194" authorId="0">
      <text>
        <r>
          <rPr>
            <b/>
            <sz val="12"/>
            <rFont val="宋体"/>
            <charset val="134"/>
          </rPr>
          <t>Administrator:</t>
        </r>
        <r>
          <rPr>
            <sz val="12"/>
            <rFont val="宋体"/>
            <charset val="134"/>
          </rPr>
          <t xml:space="preserve">
7/25 上UPC贴纸  700pcs
     上进口商贴纸 700pcs-供应商做错
7/29 上进口商贴纸 700pcs</t>
        </r>
      </text>
    </comment>
    <comment ref="AD195" authorId="0">
      <text>
        <r>
          <rPr>
            <b/>
            <sz val="12"/>
            <rFont val="宋体"/>
            <charset val="134"/>
          </rPr>
          <t>Administrator:</t>
        </r>
        <r>
          <rPr>
            <sz val="12"/>
            <rFont val="宋体"/>
            <charset val="134"/>
          </rPr>
          <t xml:space="preserve">
4000630 8/20 492pcs 新仓库一B8</t>
        </r>
      </text>
    </comment>
    <comment ref="AG195" authorId="0">
      <text>
        <r>
          <rPr>
            <b/>
            <sz val="12"/>
            <rFont val="宋体"/>
            <charset val="134"/>
          </rPr>
          <t>Administrator:</t>
        </r>
        <r>
          <rPr>
            <sz val="12"/>
            <rFont val="宋体"/>
            <charset val="134"/>
          </rPr>
          <t xml:space="preserve">
7/22 上环保标贴纸 492pcs
7/31 上亚马逊外箱贴纸 41pcs</t>
        </r>
      </text>
    </comment>
    <comment ref="AD196" authorId="0">
      <text>
        <r>
          <rPr>
            <b/>
            <sz val="12"/>
            <rFont val="宋体"/>
            <charset val="134"/>
          </rPr>
          <t>Administrator:</t>
        </r>
        <r>
          <rPr>
            <sz val="12"/>
            <rFont val="宋体"/>
            <charset val="134"/>
          </rPr>
          <t xml:space="preserve">
4000530 8/14 3456pcs 莫海军B4楼C8区</t>
        </r>
      </text>
    </comment>
    <comment ref="AG196" authorId="0">
      <text>
        <r>
          <rPr>
            <b/>
            <sz val="12"/>
            <rFont val="宋体"/>
            <charset val="134"/>
          </rPr>
          <t>Administrator:</t>
        </r>
        <r>
          <rPr>
            <sz val="12"/>
            <rFont val="宋体"/>
            <charset val="134"/>
          </rPr>
          <t xml:space="preserve">
7/28 上客供RFID贴纸 3456pcs</t>
        </r>
      </text>
    </comment>
    <comment ref="AD197" authorId="0">
      <text>
        <r>
          <rPr>
            <b/>
            <sz val="12"/>
            <rFont val="宋体"/>
            <charset val="134"/>
          </rPr>
          <t>Administrator:</t>
        </r>
        <r>
          <rPr>
            <sz val="12"/>
            <rFont val="宋体"/>
            <charset val="134"/>
          </rPr>
          <t xml:space="preserve">
4000530 8/14 6912pcs 莫海军B4楼C8区
</t>
        </r>
      </text>
    </comment>
    <comment ref="AG197" authorId="0">
      <text>
        <r>
          <rPr>
            <b/>
            <sz val="12"/>
            <rFont val="宋体"/>
            <charset val="134"/>
          </rPr>
          <t>Administrator:</t>
        </r>
        <r>
          <rPr>
            <sz val="12"/>
            <rFont val="宋体"/>
            <charset val="134"/>
          </rPr>
          <t xml:space="preserve">
7/28 上客供RFID贴纸 6912pcs</t>
        </r>
      </text>
    </comment>
    <comment ref="AD198" authorId="0">
      <text>
        <r>
          <rPr>
            <b/>
            <sz val="12"/>
            <rFont val="宋体"/>
            <charset val="134"/>
          </rPr>
          <t>Administrator:</t>
        </r>
        <r>
          <rPr>
            <sz val="12"/>
            <rFont val="宋体"/>
            <charset val="134"/>
          </rPr>
          <t xml:space="preserve">
4000530 8/14 2304pcs 莫海军B4楼C8区
</t>
        </r>
      </text>
    </comment>
    <comment ref="AG198" authorId="0">
      <text>
        <r>
          <rPr>
            <b/>
            <sz val="12"/>
            <rFont val="宋体"/>
            <charset val="134"/>
          </rPr>
          <t>Administrator:</t>
        </r>
        <r>
          <rPr>
            <sz val="12"/>
            <rFont val="宋体"/>
            <charset val="134"/>
          </rPr>
          <t xml:space="preserve">
7/28 上客供RFID贴纸 2304pcs</t>
        </r>
      </text>
    </comment>
    <comment ref="AD199" authorId="0">
      <text>
        <r>
          <rPr>
            <b/>
            <sz val="12"/>
            <rFont val="宋体"/>
            <charset val="134"/>
          </rPr>
          <t>Administrator:</t>
        </r>
        <r>
          <rPr>
            <sz val="12"/>
            <rFont val="宋体"/>
            <charset val="134"/>
          </rPr>
          <t xml:space="preserve">
4000530 8/14 2304pcs 莫海军B4楼B9区
</t>
        </r>
      </text>
    </comment>
    <comment ref="AG199" authorId="0">
      <text>
        <r>
          <rPr>
            <b/>
            <sz val="12"/>
            <rFont val="宋体"/>
            <charset val="134"/>
          </rPr>
          <t>Administrator:</t>
        </r>
        <r>
          <rPr>
            <sz val="12"/>
            <rFont val="宋体"/>
            <charset val="134"/>
          </rPr>
          <t xml:space="preserve">
7/28 上客供RFID贴纸 2304pcs</t>
        </r>
      </text>
    </comment>
    <comment ref="AD200" authorId="0">
      <text>
        <r>
          <rPr>
            <b/>
            <sz val="12"/>
            <rFont val="宋体"/>
            <charset val="134"/>
          </rPr>
          <t>Administrator:</t>
        </r>
        <r>
          <rPr>
            <sz val="12"/>
            <rFont val="宋体"/>
            <charset val="134"/>
          </rPr>
          <t xml:space="preserve">
4000530 8/14 1152pcs 莫海军B4楼C8区
</t>
        </r>
      </text>
    </comment>
    <comment ref="AG200" authorId="0">
      <text>
        <r>
          <rPr>
            <b/>
            <sz val="12"/>
            <rFont val="宋体"/>
            <charset val="134"/>
          </rPr>
          <t>Administrator:</t>
        </r>
        <r>
          <rPr>
            <sz val="12"/>
            <rFont val="宋体"/>
            <charset val="134"/>
          </rPr>
          <t xml:space="preserve">
7/28 上客供RFID贴纸 1152pcs</t>
        </r>
      </text>
    </comment>
    <comment ref="AD201" authorId="0">
      <text>
        <r>
          <rPr>
            <b/>
            <sz val="12"/>
            <rFont val="宋体"/>
            <charset val="134"/>
          </rPr>
          <t>Administrator:</t>
        </r>
        <r>
          <rPr>
            <sz val="12"/>
            <rFont val="宋体"/>
            <charset val="134"/>
          </rPr>
          <t xml:space="preserve">
4000530 8/14 1152pcs 莫海军B4楼C8区
</t>
        </r>
      </text>
    </comment>
    <comment ref="AG201" authorId="0">
      <text>
        <r>
          <rPr>
            <b/>
            <sz val="12"/>
            <rFont val="宋体"/>
            <charset val="134"/>
          </rPr>
          <t>Administrator:</t>
        </r>
        <r>
          <rPr>
            <sz val="12"/>
            <rFont val="宋体"/>
            <charset val="134"/>
          </rPr>
          <t xml:space="preserve">
7/28 上客供RFID贴纸 1152pcs</t>
        </r>
      </text>
    </comment>
    <comment ref="AD202" authorId="0">
      <text>
        <r>
          <rPr>
            <b/>
            <sz val="12"/>
            <rFont val="宋体"/>
            <charset val="134"/>
          </rPr>
          <t>Administrator:</t>
        </r>
        <r>
          <rPr>
            <sz val="12"/>
            <rFont val="宋体"/>
            <charset val="134"/>
          </rPr>
          <t xml:space="preserve">
4000530 8/14 1152pcs 莫海军B4楼C8区
</t>
        </r>
      </text>
    </comment>
    <comment ref="AG202" authorId="0">
      <text>
        <r>
          <rPr>
            <b/>
            <sz val="12"/>
            <rFont val="宋体"/>
            <charset val="134"/>
          </rPr>
          <t>Administrator:</t>
        </r>
        <r>
          <rPr>
            <sz val="12"/>
            <rFont val="宋体"/>
            <charset val="134"/>
          </rPr>
          <t xml:space="preserve">
7/28 上客供RFID贴纸 1152pcs</t>
        </r>
      </text>
    </comment>
    <comment ref="AD203" authorId="0">
      <text>
        <r>
          <rPr>
            <b/>
            <sz val="12"/>
            <rFont val="宋体"/>
            <charset val="134"/>
          </rPr>
          <t>Administrator:</t>
        </r>
        <r>
          <rPr>
            <sz val="12"/>
            <rFont val="宋体"/>
            <charset val="134"/>
          </rPr>
          <t xml:space="preserve">
4000176 8/25 468pcs 莫海军B4楼B1区</t>
        </r>
      </text>
    </comment>
    <comment ref="AD204" authorId="0">
      <text>
        <r>
          <rPr>
            <b/>
            <sz val="12"/>
            <rFont val="宋体"/>
            <charset val="134"/>
          </rPr>
          <t>Administrator:</t>
        </r>
        <r>
          <rPr>
            <sz val="12"/>
            <rFont val="宋体"/>
            <charset val="134"/>
          </rPr>
          <t xml:space="preserve">
4000082 8/29 2028pcs 新仓库一B7</t>
        </r>
      </text>
    </comment>
    <comment ref="AG204" authorId="0">
      <text>
        <r>
          <rPr>
            <b/>
            <sz val="12"/>
            <rFont val="宋体"/>
            <charset val="134"/>
          </rPr>
          <t>Administrator:</t>
        </r>
        <r>
          <rPr>
            <sz val="12"/>
            <rFont val="宋体"/>
            <charset val="134"/>
          </rPr>
          <t xml:space="preserve">
7/5 上日语贴纸 2028pcs
    上6+贴纸 2028pcs
7/8 上收藏指南6+贴纸 2028pcs</t>
        </r>
      </text>
    </comment>
    <comment ref="AD205" authorId="0">
      <text>
        <r>
          <rPr>
            <b/>
            <sz val="12"/>
            <rFont val="宋体"/>
            <charset val="134"/>
          </rPr>
          <t>Administrator:</t>
        </r>
        <r>
          <rPr>
            <sz val="12"/>
            <rFont val="宋体"/>
            <charset val="134"/>
          </rPr>
          <t xml:space="preserve">
4000048 9/2 2004pcs 华兴三B11</t>
        </r>
      </text>
    </comment>
    <comment ref="AG205" authorId="0">
      <text>
        <r>
          <rPr>
            <b/>
            <sz val="12"/>
            <rFont val="宋体"/>
            <charset val="134"/>
          </rPr>
          <t>Administrator:</t>
        </r>
        <r>
          <rPr>
            <sz val="12"/>
            <rFont val="宋体"/>
            <charset val="134"/>
          </rPr>
          <t xml:space="preserve">
8/14 上客供价格贴纸 2100pcs</t>
        </r>
      </text>
    </comment>
    <comment ref="AD206" authorId="0">
      <text>
        <r>
          <rPr>
            <b/>
            <sz val="12"/>
            <rFont val="宋体"/>
            <charset val="134"/>
          </rPr>
          <t>Administrator:</t>
        </r>
        <r>
          <rPr>
            <sz val="12"/>
            <rFont val="宋体"/>
            <charset val="134"/>
          </rPr>
          <t xml:space="preserve">
4000101 8/30 600pcs</t>
        </r>
      </text>
    </comment>
    <comment ref="AG206" authorId="0">
      <text>
        <r>
          <rPr>
            <b/>
            <sz val="12"/>
            <rFont val="宋体"/>
            <charset val="134"/>
          </rPr>
          <t>Administrator:</t>
        </r>
        <r>
          <rPr>
            <sz val="12"/>
            <rFont val="宋体"/>
            <charset val="134"/>
          </rPr>
          <t xml:space="preserve">
8/14 上客供价格贴纸 636pcs</t>
        </r>
      </text>
    </comment>
    <comment ref="AD207" authorId="0">
      <text>
        <r>
          <rPr>
            <b/>
            <sz val="12"/>
            <rFont val="宋体"/>
            <charset val="134"/>
          </rPr>
          <t>Administrator:</t>
        </r>
        <r>
          <rPr>
            <sz val="12"/>
            <rFont val="宋体"/>
            <charset val="134"/>
          </rPr>
          <t xml:space="preserve">
4000101 8/30 192pcs</t>
        </r>
      </text>
    </comment>
    <comment ref="AG207" authorId="0">
      <text>
        <r>
          <rPr>
            <b/>
            <sz val="12"/>
            <rFont val="宋体"/>
            <charset val="134"/>
          </rPr>
          <t>Administrator:</t>
        </r>
        <r>
          <rPr>
            <sz val="12"/>
            <rFont val="宋体"/>
            <charset val="134"/>
          </rPr>
          <t xml:space="preserve">
8/14 上客供价格贴纸 244pcs</t>
        </r>
      </text>
    </comment>
    <comment ref="AD208" authorId="0">
      <text>
        <r>
          <rPr>
            <b/>
            <sz val="12"/>
            <rFont val="宋体"/>
            <charset val="134"/>
          </rPr>
          <t>Administrator:</t>
        </r>
        <r>
          <rPr>
            <sz val="12"/>
            <rFont val="宋体"/>
            <charset val="134"/>
          </rPr>
          <t xml:space="preserve">
4000003 9/4 408pcs 华兴三A32</t>
        </r>
      </text>
    </comment>
    <comment ref="AG208" authorId="0">
      <text>
        <r>
          <rPr>
            <b/>
            <sz val="12"/>
            <rFont val="宋体"/>
            <charset val="134"/>
          </rPr>
          <t>Administrator:</t>
        </r>
        <r>
          <rPr>
            <sz val="12"/>
            <rFont val="宋体"/>
            <charset val="134"/>
          </rPr>
          <t xml:space="preserve">
8/14 上客供价格贴纸 440pcs</t>
        </r>
      </text>
    </comment>
    <comment ref="AD209" authorId="0">
      <text>
        <r>
          <rPr>
            <b/>
            <sz val="12"/>
            <rFont val="宋体"/>
            <charset val="134"/>
          </rPr>
          <t>Administrator:</t>
        </r>
        <r>
          <rPr>
            <sz val="12"/>
            <rFont val="宋体"/>
            <charset val="134"/>
          </rPr>
          <t xml:space="preserve">
4000513 9/6 72pcs 华兴三B15</t>
        </r>
      </text>
    </comment>
    <comment ref="AG209" authorId="0">
      <text>
        <r>
          <rPr>
            <b/>
            <sz val="12"/>
            <rFont val="宋体"/>
            <charset val="134"/>
          </rPr>
          <t>Administrator:</t>
        </r>
        <r>
          <rPr>
            <sz val="12"/>
            <rFont val="宋体"/>
            <charset val="134"/>
          </rPr>
          <t xml:space="preserve">
8/18 上客供亚马逊外箱贴纸 6pcs</t>
        </r>
      </text>
    </comment>
    <comment ref="AD210" authorId="0">
      <text>
        <r>
          <rPr>
            <b/>
            <sz val="12"/>
            <rFont val="宋体"/>
            <charset val="134"/>
          </rPr>
          <t>Administrator:</t>
        </r>
        <r>
          <rPr>
            <sz val="12"/>
            <rFont val="宋体"/>
            <charset val="134"/>
          </rPr>
          <t xml:space="preserve">
4000513 9/6 96pcs 华兴三B15</t>
        </r>
      </text>
    </comment>
    <comment ref="AG210" authorId="0">
      <text>
        <r>
          <rPr>
            <b/>
            <sz val="12"/>
            <rFont val="宋体"/>
            <charset val="134"/>
          </rPr>
          <t>Administrator:</t>
        </r>
        <r>
          <rPr>
            <sz val="12"/>
            <rFont val="宋体"/>
            <charset val="134"/>
          </rPr>
          <t xml:space="preserve">
8/18 上客供亚马逊外箱贴纸 8pcs</t>
        </r>
      </text>
    </comment>
    <comment ref="AD211" authorId="0">
      <text>
        <r>
          <rPr>
            <b/>
            <sz val="12"/>
            <rFont val="宋体"/>
            <charset val="134"/>
          </rPr>
          <t>Administrator:</t>
        </r>
        <r>
          <rPr>
            <sz val="12"/>
            <rFont val="宋体"/>
            <charset val="134"/>
          </rPr>
          <t xml:space="preserve">
4000513 9/6 60pcs 华兴三B15
</t>
        </r>
      </text>
    </comment>
    <comment ref="AG211" authorId="0">
      <text>
        <r>
          <rPr>
            <b/>
            <sz val="12"/>
            <rFont val="宋体"/>
            <charset val="134"/>
          </rPr>
          <t>Administrator:</t>
        </r>
        <r>
          <rPr>
            <sz val="12"/>
            <rFont val="宋体"/>
            <charset val="134"/>
          </rPr>
          <t xml:space="preserve">
8/18 上客供亚马逊外箱贴纸 5pcs</t>
        </r>
      </text>
    </comment>
    <comment ref="AD212" authorId="0">
      <text>
        <r>
          <rPr>
            <b/>
            <sz val="12"/>
            <rFont val="宋体"/>
            <charset val="134"/>
          </rPr>
          <t>Administrator:</t>
        </r>
        <r>
          <rPr>
            <sz val="12"/>
            <rFont val="宋体"/>
            <charset val="134"/>
          </rPr>
          <t xml:space="preserve">
4000513 9/6 24pcs 华兴三B15
</t>
        </r>
      </text>
    </comment>
    <comment ref="AG212" authorId="0">
      <text>
        <r>
          <rPr>
            <b/>
            <sz val="12"/>
            <rFont val="宋体"/>
            <charset val="134"/>
          </rPr>
          <t>Administrator:</t>
        </r>
        <r>
          <rPr>
            <sz val="12"/>
            <rFont val="宋体"/>
            <charset val="134"/>
          </rPr>
          <t xml:space="preserve">
8/18 上客供亚马逊外箱贴纸 2pcs</t>
        </r>
      </text>
    </comment>
    <comment ref="AD213" authorId="0">
      <text>
        <r>
          <rPr>
            <b/>
            <sz val="12"/>
            <rFont val="宋体"/>
            <charset val="134"/>
          </rPr>
          <t>Administrator:</t>
        </r>
        <r>
          <rPr>
            <sz val="12"/>
            <rFont val="宋体"/>
            <charset val="134"/>
          </rPr>
          <t xml:space="preserve">
4000513 9/6 12pcs 华兴三B15
</t>
        </r>
      </text>
    </comment>
    <comment ref="AG213" authorId="0">
      <text>
        <r>
          <rPr>
            <b/>
            <sz val="12"/>
            <rFont val="宋体"/>
            <charset val="134"/>
          </rPr>
          <t>Administrator:</t>
        </r>
        <r>
          <rPr>
            <sz val="12"/>
            <rFont val="宋体"/>
            <charset val="134"/>
          </rPr>
          <t xml:space="preserve">
8/18 上客供亚马逊外箱贴纸 1pcs</t>
        </r>
      </text>
    </comment>
    <comment ref="AD214" authorId="0">
      <text>
        <r>
          <rPr>
            <b/>
            <sz val="12"/>
            <rFont val="宋体"/>
            <charset val="134"/>
          </rPr>
          <t>Administrator:</t>
        </r>
        <r>
          <rPr>
            <sz val="12"/>
            <rFont val="宋体"/>
            <charset val="134"/>
          </rPr>
          <t xml:space="preserve">
4000513 9/6 36pcs 华兴三B15
</t>
        </r>
      </text>
    </comment>
    <comment ref="AG214" authorId="0">
      <text>
        <r>
          <rPr>
            <b/>
            <sz val="12"/>
            <rFont val="宋体"/>
            <charset val="134"/>
          </rPr>
          <t>Administrator:</t>
        </r>
        <r>
          <rPr>
            <sz val="12"/>
            <rFont val="宋体"/>
            <charset val="134"/>
          </rPr>
          <t xml:space="preserve">
8/18 上客供亚马逊外箱贴纸 3pcs</t>
        </r>
      </text>
    </comment>
    <comment ref="AD215" authorId="0">
      <text>
        <r>
          <rPr>
            <b/>
            <sz val="12"/>
            <rFont val="宋体"/>
            <charset val="134"/>
          </rPr>
          <t>Administrator:</t>
        </r>
        <r>
          <rPr>
            <sz val="12"/>
            <rFont val="宋体"/>
            <charset val="134"/>
          </rPr>
          <t xml:space="preserve">
4000513 9/6 48pcs 华兴三B15
</t>
        </r>
      </text>
    </comment>
    <comment ref="AG215" authorId="0">
      <text>
        <r>
          <rPr>
            <b/>
            <sz val="12"/>
            <rFont val="宋体"/>
            <charset val="134"/>
          </rPr>
          <t>Administrator:</t>
        </r>
        <r>
          <rPr>
            <sz val="12"/>
            <rFont val="宋体"/>
            <charset val="134"/>
          </rPr>
          <t xml:space="preserve">
8/18 上客供亚马逊外箱贴纸 4pcs</t>
        </r>
      </text>
    </comment>
    <comment ref="AD216" authorId="0">
      <text>
        <r>
          <rPr>
            <b/>
            <sz val="12"/>
            <rFont val="宋体"/>
            <charset val="134"/>
          </rPr>
          <t>Administrator:</t>
        </r>
        <r>
          <rPr>
            <sz val="12"/>
            <rFont val="宋体"/>
            <charset val="134"/>
          </rPr>
          <t xml:space="preserve">
4000379 9/4 1152pcs 华兴三B5</t>
        </r>
      </text>
    </comment>
    <comment ref="AG216" authorId="0">
      <text>
        <r>
          <rPr>
            <b/>
            <sz val="12"/>
            <rFont val="宋体"/>
            <charset val="134"/>
          </rPr>
          <t>Administrator:</t>
        </r>
        <r>
          <rPr>
            <sz val="12"/>
            <rFont val="宋体"/>
            <charset val="134"/>
          </rPr>
          <t xml:space="preserve">
8/14 上客供RFID贴纸 1152pcs</t>
        </r>
      </text>
    </comment>
    <comment ref="AD217" authorId="0">
      <text>
        <r>
          <rPr>
            <b/>
            <sz val="12"/>
            <rFont val="宋体"/>
            <charset val="134"/>
          </rPr>
          <t>Administrator:</t>
        </r>
        <r>
          <rPr>
            <sz val="12"/>
            <rFont val="宋体"/>
            <charset val="134"/>
          </rPr>
          <t xml:space="preserve">
4000379 9/4 1152pcs 华兴三B5</t>
        </r>
      </text>
    </comment>
    <comment ref="AG217" authorId="0">
      <text>
        <r>
          <rPr>
            <b/>
            <sz val="12"/>
            <rFont val="宋体"/>
            <charset val="134"/>
          </rPr>
          <t>Administrator:</t>
        </r>
        <r>
          <rPr>
            <sz val="12"/>
            <rFont val="宋体"/>
            <charset val="134"/>
          </rPr>
          <t xml:space="preserve">
8/14 上客供RFID贴纸 1152pcs</t>
        </r>
      </text>
    </comment>
    <comment ref="AD218" authorId="0">
      <text>
        <r>
          <rPr>
            <b/>
            <sz val="12"/>
            <rFont val="宋体"/>
            <charset val="134"/>
          </rPr>
          <t>Administrator:</t>
        </r>
        <r>
          <rPr>
            <sz val="12"/>
            <rFont val="宋体"/>
            <charset val="134"/>
          </rPr>
          <t xml:space="preserve">
4000379 9/4 1152pcs 华兴三B5</t>
        </r>
      </text>
    </comment>
    <comment ref="AG218" authorId="0">
      <text>
        <r>
          <rPr>
            <b/>
            <sz val="12"/>
            <rFont val="宋体"/>
            <charset val="134"/>
          </rPr>
          <t>Administrator:</t>
        </r>
        <r>
          <rPr>
            <sz val="12"/>
            <rFont val="宋体"/>
            <charset val="134"/>
          </rPr>
          <t xml:space="preserve">
8/14 上客供RFID贴纸 1152pcs</t>
        </r>
      </text>
    </comment>
    <comment ref="AD219" authorId="0">
      <text>
        <r>
          <rPr>
            <b/>
            <sz val="12"/>
            <rFont val="宋体"/>
            <charset val="134"/>
          </rPr>
          <t>Administrator:</t>
        </r>
        <r>
          <rPr>
            <sz val="12"/>
            <rFont val="宋体"/>
            <charset val="134"/>
          </rPr>
          <t xml:space="preserve">
4000446 9/11 1152pcs 华兴三B4</t>
        </r>
      </text>
    </comment>
    <comment ref="AG219" authorId="0">
      <text>
        <r>
          <rPr>
            <b/>
            <sz val="12"/>
            <rFont val="宋体"/>
            <charset val="134"/>
          </rPr>
          <t>Administrator:</t>
        </r>
        <r>
          <rPr>
            <sz val="12"/>
            <rFont val="宋体"/>
            <charset val="134"/>
          </rPr>
          <t xml:space="preserve">
8/29 上客供RFID贴纸 1152pcs</t>
        </r>
      </text>
    </comment>
    <comment ref="AD220" authorId="0">
      <text>
        <r>
          <rPr>
            <b/>
            <sz val="12"/>
            <rFont val="宋体"/>
            <charset val="134"/>
          </rPr>
          <t>Administrator:</t>
        </r>
        <r>
          <rPr>
            <sz val="12"/>
            <rFont val="宋体"/>
            <charset val="134"/>
          </rPr>
          <t xml:space="preserve">
4000446 9/11 1152pcs 华兴三B4</t>
        </r>
      </text>
    </comment>
    <comment ref="AG220" authorId="0">
      <text>
        <r>
          <rPr>
            <b/>
            <sz val="12"/>
            <rFont val="宋体"/>
            <charset val="134"/>
          </rPr>
          <t>Administrator:</t>
        </r>
        <r>
          <rPr>
            <sz val="12"/>
            <rFont val="宋体"/>
            <charset val="134"/>
          </rPr>
          <t xml:space="preserve">
8/29 上客供RFID贴纸 1152pcs</t>
        </r>
      </text>
    </comment>
    <comment ref="AD221" authorId="0">
      <text>
        <r>
          <rPr>
            <b/>
            <sz val="12"/>
            <rFont val="宋体"/>
            <charset val="134"/>
          </rPr>
          <t>Administrator:</t>
        </r>
        <r>
          <rPr>
            <sz val="12"/>
            <rFont val="宋体"/>
            <charset val="134"/>
          </rPr>
          <t xml:space="preserve">
4000446 9/11 1152pcs 华兴三B4</t>
        </r>
      </text>
    </comment>
    <comment ref="AG221" authorId="0">
      <text>
        <r>
          <rPr>
            <b/>
            <sz val="12"/>
            <rFont val="宋体"/>
            <charset val="134"/>
          </rPr>
          <t>Administrator:</t>
        </r>
        <r>
          <rPr>
            <sz val="12"/>
            <rFont val="宋体"/>
            <charset val="134"/>
          </rPr>
          <t xml:space="preserve">
8/29 上客供RFID贴纸 1152pcs</t>
        </r>
      </text>
    </comment>
    <comment ref="AD222" authorId="0">
      <text>
        <r>
          <rPr>
            <b/>
            <sz val="12"/>
            <rFont val="宋体"/>
            <charset val="134"/>
          </rPr>
          <t>Administrator:</t>
        </r>
        <r>
          <rPr>
            <sz val="12"/>
            <rFont val="宋体"/>
            <charset val="134"/>
          </rPr>
          <t xml:space="preserve">
4000446 9/11 1152pcs 华兴三B4</t>
        </r>
      </text>
    </comment>
    <comment ref="AG222" authorId="0">
      <text>
        <r>
          <rPr>
            <b/>
            <sz val="12"/>
            <rFont val="宋体"/>
            <charset val="134"/>
          </rPr>
          <t>Administrator:</t>
        </r>
        <r>
          <rPr>
            <sz val="12"/>
            <rFont val="宋体"/>
            <charset val="134"/>
          </rPr>
          <t xml:space="preserve">
8/29 上客供RFID贴纸 1152pcs</t>
        </r>
      </text>
    </comment>
    <comment ref="AD223" authorId="0">
      <text>
        <r>
          <rPr>
            <b/>
            <sz val="12"/>
            <rFont val="宋体"/>
            <charset val="134"/>
          </rPr>
          <t>Administrator:</t>
        </r>
        <r>
          <rPr>
            <sz val="12"/>
            <rFont val="宋体"/>
            <charset val="134"/>
          </rPr>
          <t xml:space="preserve">
4000008 9/4 660个-3箱
#1-#22各30各</t>
        </r>
      </text>
    </comment>
    <comment ref="AD224" authorId="0">
      <text>
        <r>
          <rPr>
            <b/>
            <sz val="12"/>
            <rFont val="宋体"/>
            <charset val="134"/>
          </rPr>
          <t>Administrator:</t>
        </r>
        <r>
          <rPr>
            <sz val="12"/>
            <rFont val="宋体"/>
            <charset val="134"/>
          </rPr>
          <t xml:space="preserve">
4000437 9/15 600pcs 莫海军B4楼B1区
</t>
        </r>
      </text>
    </comment>
    <comment ref="AG224" authorId="0">
      <text>
        <r>
          <rPr>
            <b/>
            <sz val="12"/>
            <rFont val="宋体"/>
            <charset val="134"/>
          </rPr>
          <t>Administrator:</t>
        </r>
        <r>
          <rPr>
            <sz val="12"/>
            <rFont val="宋体"/>
            <charset val="134"/>
          </rPr>
          <t xml:space="preserve">
8/14 上客供价格贴纸 630pcs</t>
        </r>
      </text>
    </comment>
    <comment ref="AD225" authorId="0">
      <text>
        <r>
          <rPr>
            <b/>
            <sz val="12"/>
            <rFont val="宋体"/>
            <charset val="134"/>
          </rPr>
          <t>Administrator:</t>
        </r>
        <r>
          <rPr>
            <sz val="12"/>
            <rFont val="宋体"/>
            <charset val="134"/>
          </rPr>
          <t xml:space="preserve">
4000437 9/15 1800pcs 莫海军B4楼B1区
</t>
        </r>
      </text>
    </comment>
    <comment ref="AD226" authorId="0">
      <text>
        <r>
          <rPr>
            <b/>
            <sz val="12"/>
            <rFont val="宋体"/>
            <charset val="134"/>
          </rPr>
          <t>Administrator:</t>
        </r>
        <r>
          <rPr>
            <sz val="12"/>
            <rFont val="宋体"/>
            <charset val="134"/>
          </rPr>
          <t xml:space="preserve">
4000437 9/15 700pcs 莫海军B4楼B1区
</t>
        </r>
      </text>
    </comment>
    <comment ref="AD227" authorId="0">
      <text>
        <r>
          <rPr>
            <b/>
            <sz val="12"/>
            <rFont val="宋体"/>
            <charset val="134"/>
          </rPr>
          <t>Administrator:</t>
        </r>
        <r>
          <rPr>
            <sz val="12"/>
            <rFont val="宋体"/>
            <charset val="134"/>
          </rPr>
          <t xml:space="preserve">
4000437 9/15 400pcs 莫海军B4楼A1区
</t>
        </r>
      </text>
    </comment>
    <comment ref="AD228" authorId="0">
      <text>
        <r>
          <rPr>
            <b/>
            <sz val="12"/>
            <rFont val="宋体"/>
            <charset val="134"/>
          </rPr>
          <t>Administrator:</t>
        </r>
        <r>
          <rPr>
            <sz val="12"/>
            <rFont val="宋体"/>
            <charset val="134"/>
          </rPr>
          <t xml:space="preserve">
5000455 10/8 1508pcs 莫海军B4楼C4区</t>
        </r>
      </text>
    </comment>
    <comment ref="AG228" authorId="0">
      <text>
        <r>
          <rPr>
            <b/>
            <sz val="12"/>
            <rFont val="宋体"/>
            <charset val="134"/>
          </rPr>
          <t>Administrator:</t>
        </r>
        <r>
          <rPr>
            <sz val="12"/>
            <rFont val="宋体"/>
            <charset val="134"/>
          </rPr>
          <t xml:space="preserve">
9/11 上进口商贴纸 1508pcs</t>
        </r>
      </text>
    </comment>
    <comment ref="AD229" authorId="0">
      <text>
        <r>
          <rPr>
            <b/>
            <sz val="12"/>
            <rFont val="宋体"/>
            <charset val="134"/>
          </rPr>
          <t>Administrator:</t>
        </r>
        <r>
          <rPr>
            <sz val="12"/>
            <rFont val="宋体"/>
            <charset val="134"/>
          </rPr>
          <t xml:space="preserve">
5000459 9/30 600pcs 华兴三A17</t>
        </r>
      </text>
    </comment>
    <comment ref="AG229" authorId="0">
      <text>
        <r>
          <rPr>
            <b/>
            <sz val="12"/>
            <rFont val="宋体"/>
            <charset val="134"/>
          </rPr>
          <t>Administrator:</t>
        </r>
        <r>
          <rPr>
            <sz val="12"/>
            <rFont val="宋体"/>
            <charset val="134"/>
          </rPr>
          <t xml:space="preserve">
9/12 上客供价格贴纸 630pcs</t>
        </r>
      </text>
    </comment>
    <comment ref="AD230" authorId="0">
      <text>
        <r>
          <rPr>
            <b/>
            <sz val="12"/>
            <rFont val="宋体"/>
            <charset val="134"/>
          </rPr>
          <t>Administrator:</t>
        </r>
        <r>
          <rPr>
            <sz val="12"/>
            <rFont val="宋体"/>
            <charset val="134"/>
          </rPr>
          <t xml:space="preserve">
5000459 9/30 720pcs 华兴三B8
5000446 10/7 12pcs  华兴三B8
</t>
        </r>
      </text>
    </comment>
    <comment ref="AG230" authorId="0">
      <text>
        <r>
          <rPr>
            <b/>
            <sz val="12"/>
            <rFont val="宋体"/>
            <charset val="134"/>
          </rPr>
          <t>Administrator:</t>
        </r>
        <r>
          <rPr>
            <sz val="12"/>
            <rFont val="宋体"/>
            <charset val="134"/>
          </rPr>
          <t xml:space="preserve">
9/9 上环保标贴纸 732pcs
9/18 上亚马逊外箱贴纸 61pcs</t>
        </r>
      </text>
    </comment>
    <comment ref="AD231" authorId="0">
      <text>
        <r>
          <rPr>
            <b/>
            <sz val="12"/>
            <rFont val="宋体"/>
            <charset val="134"/>
          </rPr>
          <t>Administrator:</t>
        </r>
        <r>
          <rPr>
            <sz val="12"/>
            <rFont val="宋体"/>
            <charset val="134"/>
          </rPr>
          <t xml:space="preserve">
5000594 10/17 650pcs 华兴三B14</t>
        </r>
      </text>
    </comment>
    <comment ref="AG231" authorId="0">
      <text>
        <r>
          <rPr>
            <b/>
            <sz val="12"/>
            <rFont val="宋体"/>
            <charset val="134"/>
          </rPr>
          <t>Administrator:</t>
        </r>
        <r>
          <rPr>
            <sz val="12"/>
            <rFont val="宋体"/>
            <charset val="134"/>
          </rPr>
          <t xml:space="preserve">
9/23 上UPC贴纸 650pcs</t>
        </r>
      </text>
    </comment>
    <comment ref="AD232" authorId="0">
      <text>
        <r>
          <rPr>
            <b/>
            <sz val="12"/>
            <rFont val="宋体"/>
            <charset val="134"/>
          </rPr>
          <t>Administrator:</t>
        </r>
        <r>
          <rPr>
            <sz val="12"/>
            <rFont val="宋体"/>
            <charset val="134"/>
          </rPr>
          <t xml:space="preserve">
5000161 10/23 520pcs 华兴一B3</t>
        </r>
      </text>
    </comment>
    <comment ref="AD233" authorId="0">
      <text>
        <r>
          <rPr>
            <b/>
            <sz val="12"/>
            <rFont val="宋体"/>
            <charset val="134"/>
          </rPr>
          <t>Administrator:</t>
        </r>
        <r>
          <rPr>
            <sz val="12"/>
            <rFont val="宋体"/>
            <charset val="134"/>
          </rPr>
          <t xml:space="preserve">
11/12 湖南直接寄深圳雨禾</t>
        </r>
      </text>
    </comment>
    <comment ref="AD234" authorId="0">
      <text>
        <r>
          <rPr>
            <b/>
            <sz val="12"/>
            <rFont val="宋体"/>
            <charset val="134"/>
          </rPr>
          <t>Administrator:</t>
        </r>
        <r>
          <rPr>
            <sz val="12"/>
            <rFont val="宋体"/>
            <charset val="134"/>
          </rPr>
          <t xml:space="preserve">
消耗取消单4500128257  516pcs
1200339 11/8 84pcs 华兴三B13</t>
        </r>
      </text>
    </comment>
    <comment ref="AG234" authorId="0">
      <text>
        <r>
          <rPr>
            <b/>
            <sz val="12"/>
            <rFont val="宋体"/>
            <charset val="134"/>
          </rPr>
          <t>Administrator:</t>
        </r>
        <r>
          <rPr>
            <sz val="12"/>
            <rFont val="宋体"/>
            <charset val="134"/>
          </rPr>
          <t xml:space="preserve">
10/17 上客供价格贴纸 630pcs</t>
        </r>
      </text>
    </comment>
    <comment ref="AD235" authorId="0">
      <text>
        <r>
          <rPr>
            <b/>
            <sz val="12"/>
            <rFont val="宋体"/>
            <charset val="134"/>
          </rPr>
          <t>Administrator:</t>
        </r>
        <r>
          <rPr>
            <sz val="12"/>
            <rFont val="宋体"/>
            <charset val="134"/>
          </rPr>
          <t xml:space="preserve">
1200446 11/19 2622pcs 华兴三B11</t>
        </r>
      </text>
    </comment>
    <comment ref="AG235" authorId="0">
      <text>
        <r>
          <rPr>
            <b/>
            <sz val="12"/>
            <rFont val="宋体"/>
            <charset val="134"/>
          </rPr>
          <t>Administrator:</t>
        </r>
        <r>
          <rPr>
            <sz val="12"/>
            <rFont val="宋体"/>
            <charset val="134"/>
          </rPr>
          <t xml:space="preserve">
11/6 上PDQ折页 3635pcs
     上WIC贴纸 21810pcs</t>
        </r>
      </text>
    </comment>
    <comment ref="AD236" authorId="0">
      <text>
        <r>
          <rPr>
            <b/>
            <sz val="12"/>
            <rFont val="宋体"/>
            <charset val="134"/>
          </rPr>
          <t>Administrator:</t>
        </r>
        <r>
          <rPr>
            <sz val="12"/>
            <rFont val="宋体"/>
            <charset val="134"/>
          </rPr>
          <t xml:space="preserve">
1200446 11/19 2208pcs 华兴三B11</t>
        </r>
      </text>
    </comment>
    <comment ref="AG236" authorId="0">
      <text>
        <r>
          <rPr>
            <b/>
            <sz val="12"/>
            <rFont val="宋体"/>
            <charset val="134"/>
          </rPr>
          <t>Administrator:</t>
        </r>
        <r>
          <rPr>
            <sz val="12"/>
            <rFont val="宋体"/>
            <charset val="134"/>
          </rPr>
          <t xml:space="preserve">
11/6 上PDQ折页 3635pcs
     上WIC贴纸 21810pcs</t>
        </r>
      </text>
    </comment>
    <comment ref="AD237" authorId="0">
      <text>
        <r>
          <rPr>
            <b/>
            <sz val="12"/>
            <rFont val="宋体"/>
            <charset val="134"/>
          </rPr>
          <t>Administrator:</t>
        </r>
        <r>
          <rPr>
            <sz val="12"/>
            <rFont val="宋体"/>
            <charset val="134"/>
          </rPr>
          <t xml:space="preserve">
1200498 11/24 6006pcs 华兴三B14</t>
        </r>
      </text>
    </comment>
    <comment ref="AG237" authorId="0">
      <text>
        <r>
          <rPr>
            <b/>
            <sz val="12"/>
            <rFont val="宋体"/>
            <charset val="134"/>
          </rPr>
          <t>Administrator:</t>
        </r>
        <r>
          <rPr>
            <sz val="12"/>
            <rFont val="宋体"/>
            <charset val="134"/>
          </rPr>
          <t xml:space="preserve">
11/4 上韩语警语贴纸 6006pcs</t>
        </r>
      </text>
    </comment>
    <comment ref="AD238" authorId="0">
      <text>
        <r>
          <rPr>
            <b/>
            <sz val="12"/>
            <rFont val="宋体"/>
            <charset val="134"/>
          </rPr>
          <t>Administrator:</t>
        </r>
        <r>
          <rPr>
            <sz val="12"/>
            <rFont val="宋体"/>
            <charset val="134"/>
          </rPr>
          <t xml:space="preserve">
1200547 11/27 2544pcs 华兴三B7</t>
        </r>
      </text>
    </comment>
    <comment ref="AG238" authorId="0">
      <text>
        <r>
          <rPr>
            <b/>
            <sz val="12"/>
            <rFont val="宋体"/>
            <charset val="134"/>
          </rPr>
          <t>Administrator:</t>
        </r>
        <r>
          <rPr>
            <sz val="12"/>
            <rFont val="宋体"/>
            <charset val="134"/>
          </rPr>
          <t xml:space="preserve">
11/6 上PDQ折页 3635pcs
     上WIC贴纸 21810pcs</t>
        </r>
      </text>
    </comment>
    <comment ref="AD239" authorId="0">
      <text>
        <r>
          <rPr>
            <b/>
            <sz val="12"/>
            <rFont val="宋体"/>
            <charset val="134"/>
          </rPr>
          <t>Administrator:</t>
        </r>
        <r>
          <rPr>
            <sz val="12"/>
            <rFont val="宋体"/>
            <charset val="134"/>
          </rPr>
          <t xml:space="preserve">
1200547 11/27 3426pcs 华兴三B7
</t>
        </r>
      </text>
    </comment>
    <comment ref="AG239" authorId="0">
      <text>
        <r>
          <rPr>
            <b/>
            <sz val="12"/>
            <rFont val="宋体"/>
            <charset val="134"/>
          </rPr>
          <t>Administrator:</t>
        </r>
        <r>
          <rPr>
            <sz val="12"/>
            <rFont val="宋体"/>
            <charset val="134"/>
          </rPr>
          <t xml:space="preserve">
11/6 上PDQ折页 3635pcs
     上WIC贴纸 21810pcs</t>
        </r>
      </text>
    </comment>
    <comment ref="AD240" authorId="0">
      <text>
        <r>
          <rPr>
            <b/>
            <sz val="12"/>
            <rFont val="宋体"/>
            <charset val="134"/>
          </rPr>
          <t>Administrator:</t>
        </r>
        <r>
          <rPr>
            <sz val="12"/>
            <rFont val="宋体"/>
            <charset val="134"/>
          </rPr>
          <t xml:space="preserve">
1200547 11/27 2694pcs 华兴三B7
</t>
        </r>
      </text>
    </comment>
    <comment ref="AG240" authorId="0">
      <text>
        <r>
          <rPr>
            <b/>
            <sz val="12"/>
            <rFont val="宋体"/>
            <charset val="134"/>
          </rPr>
          <t>Administrator:</t>
        </r>
        <r>
          <rPr>
            <sz val="12"/>
            <rFont val="宋体"/>
            <charset val="134"/>
          </rPr>
          <t xml:space="preserve">
11/6 上PDQ折页 3635pcs
     上WIC贴纸 21810pcs</t>
        </r>
      </text>
    </comment>
    <comment ref="AD241" authorId="0">
      <text>
        <r>
          <rPr>
            <b/>
            <sz val="12"/>
            <rFont val="宋体"/>
            <charset val="134"/>
          </rPr>
          <t>Administrator:</t>
        </r>
        <r>
          <rPr>
            <sz val="12"/>
            <rFont val="宋体"/>
            <charset val="134"/>
          </rPr>
          <t xml:space="preserve">
1200547 11/27 2202pcs 华兴三B7
</t>
        </r>
      </text>
    </comment>
    <comment ref="AG241" authorId="0">
      <text>
        <r>
          <rPr>
            <b/>
            <sz val="12"/>
            <rFont val="宋体"/>
            <charset val="134"/>
          </rPr>
          <t>Administrator:</t>
        </r>
        <r>
          <rPr>
            <sz val="12"/>
            <rFont val="宋体"/>
            <charset val="134"/>
          </rPr>
          <t xml:space="preserve">
11/6 上PDQ折页 3635pcs
     上WIC贴纸 21810pcs</t>
        </r>
      </text>
    </comment>
    <comment ref="AD242" authorId="0">
      <text>
        <r>
          <rPr>
            <b/>
            <sz val="12"/>
            <rFont val="宋体"/>
            <charset val="134"/>
          </rPr>
          <t>Administrator:</t>
        </r>
        <r>
          <rPr>
            <sz val="12"/>
            <rFont val="宋体"/>
            <charset val="134"/>
          </rPr>
          <t xml:space="preserve">
1200547 11/27 924pcs 华兴三B7
</t>
        </r>
      </text>
    </comment>
    <comment ref="AG242" authorId="0">
      <text>
        <r>
          <rPr>
            <b/>
            <sz val="12"/>
            <rFont val="宋体"/>
            <charset val="134"/>
          </rPr>
          <t>Administrator:</t>
        </r>
        <r>
          <rPr>
            <sz val="12"/>
            <rFont val="宋体"/>
            <charset val="134"/>
          </rPr>
          <t xml:space="preserve">
11/6 上PDQ折页 3635pcs
     上WIC贴纸 21810pcs</t>
        </r>
      </text>
    </comment>
    <comment ref="AD243" authorId="0">
      <text>
        <r>
          <rPr>
            <b/>
            <sz val="12"/>
            <rFont val="宋体"/>
            <charset val="134"/>
          </rPr>
          <t>Administrator:</t>
        </r>
        <r>
          <rPr>
            <sz val="12"/>
            <rFont val="宋体"/>
            <charset val="134"/>
          </rPr>
          <t xml:space="preserve">
1200547 11/27 3246pcs 华兴三B7
</t>
        </r>
      </text>
    </comment>
    <comment ref="AG243" authorId="0">
      <text>
        <r>
          <rPr>
            <b/>
            <sz val="12"/>
            <rFont val="宋体"/>
            <charset val="134"/>
          </rPr>
          <t>Administrator:</t>
        </r>
        <r>
          <rPr>
            <sz val="12"/>
            <rFont val="宋体"/>
            <charset val="134"/>
          </rPr>
          <t xml:space="preserve">
11/6 上PDQ折页 3635pcs
     上WIC贴纸 21810pcs</t>
        </r>
      </text>
    </comment>
    <comment ref="AD244" authorId="0">
      <text>
        <r>
          <rPr>
            <b/>
            <sz val="12"/>
            <rFont val="宋体"/>
            <charset val="134"/>
          </rPr>
          <t>Administrator:</t>
        </r>
        <r>
          <rPr>
            <sz val="12"/>
            <rFont val="宋体"/>
            <charset val="134"/>
          </rPr>
          <t xml:space="preserve">
1200547 11/27 1926pcs 华兴三B7
1200564 11/29  18pcs  华兴三B7</t>
        </r>
      </text>
    </comment>
    <comment ref="AG244" authorId="0">
      <text>
        <r>
          <rPr>
            <b/>
            <sz val="12"/>
            <rFont val="宋体"/>
            <charset val="134"/>
          </rPr>
          <t>Administrator:</t>
        </r>
        <r>
          <rPr>
            <sz val="12"/>
            <rFont val="宋体"/>
            <charset val="134"/>
          </rPr>
          <t xml:space="preserve">
11/6 上PDQ折页 3635pcs
     上WIC贴纸 21810pcs</t>
        </r>
      </text>
    </comment>
    <comment ref="AD245" authorId="0">
      <text>
        <r>
          <rPr>
            <b/>
            <sz val="12"/>
            <rFont val="宋体"/>
            <charset val="134"/>
          </rPr>
          <t>Administrator:</t>
        </r>
        <r>
          <rPr>
            <sz val="12"/>
            <rFont val="宋体"/>
            <charset val="134"/>
          </rPr>
          <t xml:space="preserve">
1200208 12/8 2004pcs 华兴三B15</t>
        </r>
      </text>
    </comment>
    <comment ref="AG245" authorId="0">
      <text>
        <r>
          <rPr>
            <b/>
            <sz val="12"/>
            <rFont val="宋体"/>
            <charset val="134"/>
          </rPr>
          <t>Administrator:</t>
        </r>
        <r>
          <rPr>
            <sz val="12"/>
            <rFont val="宋体"/>
            <charset val="134"/>
          </rPr>
          <t xml:space="preserve">
11/21 上客供价格贴纸 2100pcs</t>
        </r>
      </text>
    </comment>
    <comment ref="AD246" authorId="0">
      <text>
        <r>
          <rPr>
            <b/>
            <sz val="12"/>
            <rFont val="宋体"/>
            <charset val="134"/>
          </rPr>
          <t>Administrator:</t>
        </r>
        <r>
          <rPr>
            <sz val="12"/>
            <rFont val="宋体"/>
            <charset val="134"/>
          </rPr>
          <t xml:space="preserve">
1200564 11/29 400pcs</t>
        </r>
      </text>
    </comment>
    <comment ref="AG246" authorId="0">
      <text>
        <r>
          <rPr>
            <b/>
            <sz val="12"/>
            <rFont val="宋体"/>
            <charset val="134"/>
          </rPr>
          <t>Administrator:</t>
        </r>
        <r>
          <rPr>
            <sz val="12"/>
            <rFont val="宋体"/>
            <charset val="134"/>
          </rPr>
          <t xml:space="preserve">
11/17 上进口商贴纸 4000pcs
      上UPC贴纸 4000pcs
181141/179365共用</t>
        </r>
      </text>
    </comment>
    <comment ref="AD247" authorId="0">
      <text>
        <r>
          <rPr>
            <b/>
            <sz val="12"/>
            <rFont val="宋体"/>
            <charset val="134"/>
          </rPr>
          <t>Administrator:</t>
        </r>
        <r>
          <rPr>
            <sz val="12"/>
            <rFont val="宋体"/>
            <charset val="134"/>
          </rPr>
          <t xml:space="preserve">
1200648 12/4 996pcs 华兴三A22</t>
        </r>
      </text>
    </comment>
    <comment ref="AG247" authorId="0">
      <text>
        <r>
          <rPr>
            <b/>
            <sz val="12"/>
            <rFont val="宋体"/>
            <charset val="134"/>
          </rPr>
          <t>Administrator:</t>
        </r>
        <r>
          <rPr>
            <sz val="12"/>
            <rFont val="宋体"/>
            <charset val="134"/>
          </rPr>
          <t xml:space="preserve">
11/17 上空白贴纸 7992pcs
183797/183798/183806/183810共用
11/24 上客供价格贴纸 1096pcs</t>
        </r>
      </text>
    </comment>
    <comment ref="AD248" authorId="0">
      <text>
        <r>
          <rPr>
            <b/>
            <sz val="12"/>
            <rFont val="宋体"/>
            <charset val="134"/>
          </rPr>
          <t>Administrator:</t>
        </r>
        <r>
          <rPr>
            <sz val="12"/>
            <rFont val="宋体"/>
            <charset val="134"/>
          </rPr>
          <t xml:space="preserve">
1200648 12/4 1200pcs 华兴三A22</t>
        </r>
      </text>
    </comment>
    <comment ref="AG248" authorId="0">
      <text>
        <r>
          <rPr>
            <b/>
            <sz val="12"/>
            <rFont val="宋体"/>
            <charset val="134"/>
          </rPr>
          <t>Administrator:</t>
        </r>
        <r>
          <rPr>
            <sz val="12"/>
            <rFont val="宋体"/>
            <charset val="134"/>
          </rPr>
          <t xml:space="preserve">
11/17 上空白贴纸 7992pcs
183797/183798/183806/183810共用
11/24 上客供价格贴纸 1320pcs</t>
        </r>
      </text>
    </comment>
    <comment ref="AD249" authorId="0">
      <text>
        <r>
          <rPr>
            <b/>
            <sz val="12"/>
            <rFont val="宋体"/>
            <charset val="134"/>
          </rPr>
          <t>Administrator:</t>
        </r>
        <r>
          <rPr>
            <sz val="12"/>
            <rFont val="宋体"/>
            <charset val="134"/>
          </rPr>
          <t xml:space="preserve">
1200200 12/6 250pcs B4楼A2区</t>
        </r>
      </text>
    </comment>
    <comment ref="AD250" authorId="0">
      <text>
        <r>
          <rPr>
            <b/>
            <sz val="12"/>
            <rFont val="宋体"/>
            <charset val="134"/>
          </rPr>
          <t>Administrator:</t>
        </r>
        <r>
          <rPr>
            <sz val="12"/>
            <rFont val="宋体"/>
            <charset val="134"/>
          </rPr>
          <t xml:space="preserve">
1200761 12/12 12pcs B4楼A8区</t>
        </r>
      </text>
    </comment>
    <comment ref="AG250" authorId="0">
      <text>
        <r>
          <rPr>
            <b/>
            <sz val="12"/>
            <rFont val="宋体"/>
            <charset val="134"/>
          </rPr>
          <t>Administrator:</t>
        </r>
        <r>
          <rPr>
            <sz val="12"/>
            <rFont val="宋体"/>
            <charset val="134"/>
          </rPr>
          <t xml:space="preserve">
11/27 上客供亚马逊外箱贴纸 1pcs</t>
        </r>
      </text>
    </comment>
    <comment ref="AD251" authorId="0">
      <text>
        <r>
          <rPr>
            <b/>
            <sz val="12"/>
            <rFont val="宋体"/>
            <charset val="134"/>
          </rPr>
          <t>Administrator:</t>
        </r>
        <r>
          <rPr>
            <sz val="12"/>
            <rFont val="宋体"/>
            <charset val="134"/>
          </rPr>
          <t xml:space="preserve">
1200761 12/12 24pcs B4楼A8区</t>
        </r>
      </text>
    </comment>
    <comment ref="AG251" authorId="0">
      <text>
        <r>
          <rPr>
            <b/>
            <sz val="12"/>
            <rFont val="宋体"/>
            <charset val="134"/>
          </rPr>
          <t>Administrator:</t>
        </r>
        <r>
          <rPr>
            <sz val="12"/>
            <rFont val="宋体"/>
            <charset val="134"/>
          </rPr>
          <t xml:space="preserve">
11/27 上客供亚马逊外箱贴纸 2pcs</t>
        </r>
      </text>
    </comment>
    <comment ref="AD252" authorId="0">
      <text>
        <r>
          <rPr>
            <b/>
            <sz val="12"/>
            <rFont val="宋体"/>
            <charset val="134"/>
          </rPr>
          <t>Administrator:</t>
        </r>
        <r>
          <rPr>
            <sz val="12"/>
            <rFont val="宋体"/>
            <charset val="134"/>
          </rPr>
          <t xml:space="preserve">
1200761 12/12 48pcs B4楼A8区</t>
        </r>
      </text>
    </comment>
    <comment ref="AG252" authorId="0">
      <text>
        <r>
          <rPr>
            <b/>
            <sz val="12"/>
            <rFont val="宋体"/>
            <charset val="134"/>
          </rPr>
          <t>Administrator:</t>
        </r>
        <r>
          <rPr>
            <sz val="12"/>
            <rFont val="宋体"/>
            <charset val="134"/>
          </rPr>
          <t xml:space="preserve">
11/27 上客供亚马逊外箱贴纸 4pcs</t>
        </r>
      </text>
    </comment>
    <comment ref="AD253" authorId="0">
      <text>
        <r>
          <rPr>
            <b/>
            <sz val="12"/>
            <rFont val="宋体"/>
            <charset val="134"/>
          </rPr>
          <t>Administrator:</t>
        </r>
        <r>
          <rPr>
            <sz val="12"/>
            <rFont val="宋体"/>
            <charset val="134"/>
          </rPr>
          <t xml:space="preserve">
1200761 12/12 12pcs B4楼A8区</t>
        </r>
      </text>
    </comment>
    <comment ref="AG253" authorId="0">
      <text>
        <r>
          <rPr>
            <b/>
            <sz val="12"/>
            <rFont val="宋体"/>
            <charset val="134"/>
          </rPr>
          <t>Administrator:</t>
        </r>
        <r>
          <rPr>
            <sz val="12"/>
            <rFont val="宋体"/>
            <charset val="134"/>
          </rPr>
          <t xml:space="preserve">
11/27 上客供亚马逊外箱贴纸 1pcs</t>
        </r>
      </text>
    </comment>
    <comment ref="AD254" authorId="0">
      <text>
        <r>
          <rPr>
            <b/>
            <sz val="12"/>
            <rFont val="宋体"/>
            <charset val="134"/>
          </rPr>
          <t>Administrator:</t>
        </r>
        <r>
          <rPr>
            <sz val="12"/>
            <rFont val="宋体"/>
            <charset val="134"/>
          </rPr>
          <t xml:space="preserve">
1200761 12/12 12pcs B4楼A8区</t>
        </r>
      </text>
    </comment>
    <comment ref="AG254" authorId="0">
      <text>
        <r>
          <rPr>
            <b/>
            <sz val="12"/>
            <rFont val="宋体"/>
            <charset val="134"/>
          </rPr>
          <t>Administrator:</t>
        </r>
        <r>
          <rPr>
            <sz val="12"/>
            <rFont val="宋体"/>
            <charset val="134"/>
          </rPr>
          <t xml:space="preserve">
11/27 上客供亚马逊外箱贴纸 1pcs</t>
        </r>
      </text>
    </comment>
    <comment ref="AD255" authorId="0">
      <text>
        <r>
          <rPr>
            <b/>
            <sz val="12"/>
            <rFont val="宋体"/>
            <charset val="134"/>
          </rPr>
          <t>Administrator:</t>
        </r>
        <r>
          <rPr>
            <sz val="12"/>
            <rFont val="宋体"/>
            <charset val="134"/>
          </rPr>
          <t xml:space="preserve">
1200792 12/15 2250pcs B4楼A9区</t>
        </r>
      </text>
    </comment>
    <comment ref="AD256" authorId="0">
      <text>
        <r>
          <rPr>
            <b/>
            <sz val="12"/>
            <rFont val="宋体"/>
            <charset val="134"/>
          </rPr>
          <t>Administrator:</t>
        </r>
        <r>
          <rPr>
            <sz val="12"/>
            <rFont val="宋体"/>
            <charset val="134"/>
          </rPr>
          <t xml:space="preserve">
1600041 12/23   50pcs B4楼B1区
1600038 12/23 3550pcs B4楼B1区</t>
        </r>
      </text>
    </comment>
    <comment ref="AG256" authorId="0">
      <text>
        <r>
          <rPr>
            <b/>
            <sz val="12"/>
            <rFont val="宋体"/>
            <charset val="134"/>
          </rPr>
          <t>Administrator:</t>
        </r>
        <r>
          <rPr>
            <sz val="12"/>
            <rFont val="宋体"/>
            <charset val="134"/>
          </rPr>
          <t xml:space="preserve">
11/17 上进口商贴纸 4000pcs
      上UPC贴纸 4000pcs
181141/179365共用</t>
        </r>
      </text>
    </comment>
    <comment ref="AD257" authorId="0">
      <text>
        <r>
          <rPr>
            <b/>
            <sz val="12"/>
            <rFont val="宋体"/>
            <charset val="134"/>
          </rPr>
          <t>Administrator:</t>
        </r>
        <r>
          <rPr>
            <sz val="12"/>
            <rFont val="宋体"/>
            <charset val="134"/>
          </rPr>
          <t xml:space="preserve">
1600125 12/27 996pcs 华兴三B14</t>
        </r>
      </text>
    </comment>
    <comment ref="AG257" authorId="0">
      <text>
        <r>
          <rPr>
            <b/>
            <sz val="12"/>
            <rFont val="宋体"/>
            <charset val="134"/>
          </rPr>
          <t>Administrator:</t>
        </r>
        <r>
          <rPr>
            <sz val="12"/>
            <rFont val="宋体"/>
            <charset val="134"/>
          </rPr>
          <t xml:space="preserve">
11/17 上空白贴纸 7992pcs
183797/183798/183806/183810共用
12/15 上客供价格贴纸 1096pcs
</t>
        </r>
      </text>
    </comment>
    <comment ref="AD258" authorId="0">
      <text>
        <r>
          <rPr>
            <b/>
            <sz val="12"/>
            <rFont val="宋体"/>
            <charset val="134"/>
          </rPr>
          <t>Administrator:</t>
        </r>
        <r>
          <rPr>
            <sz val="12"/>
            <rFont val="宋体"/>
            <charset val="134"/>
          </rPr>
          <t xml:space="preserve">
1600135 12/29 804pcs 华兴三B14</t>
        </r>
      </text>
    </comment>
    <comment ref="AG258" authorId="0">
      <text>
        <r>
          <rPr>
            <b/>
            <sz val="12"/>
            <rFont val="宋体"/>
            <charset val="134"/>
          </rPr>
          <t>Administrator:</t>
        </r>
        <r>
          <rPr>
            <sz val="12"/>
            <rFont val="宋体"/>
            <charset val="134"/>
          </rPr>
          <t xml:space="preserve">
11/17 上空白贴纸 7992pcs
183797/183798/183806/183810共用
12/15 上客供价格贴纸 885pcs</t>
        </r>
      </text>
    </comment>
    <comment ref="AD259" authorId="0">
      <text>
        <r>
          <rPr>
            <b/>
            <sz val="12"/>
            <rFont val="宋体"/>
            <charset val="134"/>
          </rPr>
          <t>Administrator:</t>
        </r>
        <r>
          <rPr>
            <sz val="12"/>
            <rFont val="宋体"/>
            <charset val="134"/>
          </rPr>
          <t xml:space="preserve">
1600954 1/2 2004pcs 华兴三A15</t>
        </r>
      </text>
    </comment>
    <comment ref="AG259" authorId="0">
      <text>
        <r>
          <rPr>
            <b/>
            <sz val="12"/>
            <rFont val="宋体"/>
            <charset val="134"/>
          </rPr>
          <t>Administrator:</t>
        </r>
        <r>
          <rPr>
            <sz val="12"/>
            <rFont val="宋体"/>
            <charset val="134"/>
          </rPr>
          <t xml:space="preserve">
12/15 上客供价格贴纸 2100pcs</t>
        </r>
      </text>
    </comment>
    <comment ref="AD260" authorId="0">
      <text>
        <r>
          <rPr>
            <b/>
            <sz val="12"/>
            <rFont val="宋体"/>
            <charset val="134"/>
          </rPr>
          <t>Administrator:</t>
        </r>
        <r>
          <rPr>
            <sz val="12"/>
            <rFont val="宋体"/>
            <charset val="134"/>
          </rPr>
          <t xml:space="preserve">
1601063 1/9 804pcs 走货</t>
        </r>
      </text>
    </comment>
    <comment ref="AG260" authorId="0">
      <text>
        <r>
          <rPr>
            <b/>
            <sz val="12"/>
            <rFont val="宋体"/>
            <charset val="134"/>
          </rPr>
          <t>Administrator:</t>
        </r>
        <r>
          <rPr>
            <sz val="12"/>
            <rFont val="宋体"/>
            <charset val="134"/>
          </rPr>
          <t xml:space="preserve">
12/15 上客供价格贴纸 885pcs
12/23 上空白贴纸 7992pcs
187228/187231/187232/187236共用</t>
        </r>
      </text>
    </comment>
    <comment ref="AD261" authorId="0">
      <text>
        <r>
          <rPr>
            <b/>
            <sz val="12"/>
            <rFont val="宋体"/>
            <charset val="134"/>
          </rPr>
          <t>Administrator:</t>
        </r>
        <r>
          <rPr>
            <sz val="12"/>
            <rFont val="宋体"/>
            <charset val="134"/>
          </rPr>
          <t xml:space="preserve">
1601063 1/9 996pcs 华兴三A29</t>
        </r>
      </text>
    </comment>
    <comment ref="AG261" authorId="0">
      <text>
        <r>
          <rPr>
            <b/>
            <sz val="12"/>
            <rFont val="宋体"/>
            <charset val="134"/>
          </rPr>
          <t>Administrator:</t>
        </r>
        <r>
          <rPr>
            <sz val="12"/>
            <rFont val="宋体"/>
            <charset val="134"/>
          </rPr>
          <t xml:space="preserve">
12/15 上客供价格贴纸 1096pcs
12/23 上空白贴纸 7992pcs
187228/187231/187232/187236共用
</t>
        </r>
      </text>
    </comment>
    <comment ref="AD262" authorId="0">
      <text>
        <r>
          <rPr>
            <b/>
            <sz val="12"/>
            <rFont val="宋体"/>
            <charset val="134"/>
          </rPr>
          <t>Administrator:</t>
        </r>
        <r>
          <rPr>
            <sz val="12"/>
            <rFont val="宋体"/>
            <charset val="134"/>
          </rPr>
          <t xml:space="preserve">
1601063 1/9 996pcs 走货</t>
        </r>
      </text>
    </comment>
    <comment ref="AG262" authorId="0">
      <text>
        <r>
          <rPr>
            <b/>
            <sz val="12"/>
            <rFont val="宋体"/>
            <charset val="134"/>
          </rPr>
          <t>Administrator:</t>
        </r>
        <r>
          <rPr>
            <sz val="12"/>
            <rFont val="宋体"/>
            <charset val="134"/>
          </rPr>
          <t xml:space="preserve">
12/15 上客供价格贴纸 1096pcs
12/23 上空白贴纸 7992pcs
187228/187231/187232/187236共用
</t>
        </r>
      </text>
    </comment>
    <comment ref="AD263" authorId="0">
      <text>
        <r>
          <rPr>
            <b/>
            <sz val="12"/>
            <rFont val="宋体"/>
            <charset val="134"/>
          </rPr>
          <t>Administrator:</t>
        </r>
        <r>
          <rPr>
            <sz val="12"/>
            <rFont val="宋体"/>
            <charset val="134"/>
          </rPr>
          <t xml:space="preserve">
1601063 1/9 1200pcs 走货</t>
        </r>
      </text>
    </comment>
    <comment ref="AG263" authorId="0">
      <text>
        <r>
          <rPr>
            <b/>
            <sz val="12"/>
            <rFont val="宋体"/>
            <charset val="134"/>
          </rPr>
          <t>Administrator:</t>
        </r>
        <r>
          <rPr>
            <sz val="12"/>
            <rFont val="宋体"/>
            <charset val="134"/>
          </rPr>
          <t xml:space="preserve">
12/15 上客供价格贴纸 1320pcs
12/23 上空白贴纸 7992pcs
187228/187231/187232/187236共用
</t>
        </r>
      </text>
    </comment>
    <comment ref="AD264" authorId="0">
      <text>
        <r>
          <rPr>
            <b/>
            <sz val="12"/>
            <rFont val="宋体"/>
            <charset val="134"/>
          </rPr>
          <t>Administrator:</t>
        </r>
        <r>
          <rPr>
            <sz val="12"/>
            <rFont val="宋体"/>
            <charset val="134"/>
          </rPr>
          <t xml:space="preserve">
1600978 1/4 12pcs 华兴三B14</t>
        </r>
      </text>
    </comment>
    <comment ref="AG264" authorId="0">
      <text>
        <r>
          <rPr>
            <b/>
            <sz val="12"/>
            <rFont val="宋体"/>
            <charset val="134"/>
          </rPr>
          <t>Administrator:</t>
        </r>
        <r>
          <rPr>
            <sz val="12"/>
            <rFont val="宋体"/>
            <charset val="134"/>
          </rPr>
          <t xml:space="preserve">
12/23 上客供亚马逊外箱贴纸 1pcs</t>
        </r>
      </text>
    </comment>
    <comment ref="AD265" authorId="0">
      <text>
        <r>
          <rPr>
            <b/>
            <sz val="12"/>
            <rFont val="宋体"/>
            <charset val="134"/>
          </rPr>
          <t>Administrator:</t>
        </r>
        <r>
          <rPr>
            <sz val="12"/>
            <rFont val="宋体"/>
            <charset val="134"/>
          </rPr>
          <t xml:space="preserve">
1601070 1/10 48pcs 华兴三B14</t>
        </r>
      </text>
    </comment>
    <comment ref="AG265" authorId="0">
      <text>
        <r>
          <rPr>
            <b/>
            <sz val="12"/>
            <rFont val="宋体"/>
            <charset val="134"/>
          </rPr>
          <t>Administrator:</t>
        </r>
        <r>
          <rPr>
            <sz val="12"/>
            <rFont val="宋体"/>
            <charset val="134"/>
          </rPr>
          <t xml:space="preserve">
1/5 上客供亚马逊外箱贴纸 4pcs</t>
        </r>
      </text>
    </comment>
    <comment ref="AD266" authorId="0">
      <text>
        <r>
          <rPr>
            <b/>
            <sz val="12"/>
            <rFont val="宋体"/>
            <charset val="134"/>
          </rPr>
          <t>Administrator:</t>
        </r>
        <r>
          <rPr>
            <sz val="12"/>
            <rFont val="宋体"/>
            <charset val="134"/>
          </rPr>
          <t xml:space="preserve">
1601070 1/10 264pcs 华兴三B8</t>
        </r>
      </text>
    </comment>
    <comment ref="AG266" authorId="0">
      <text>
        <r>
          <rPr>
            <b/>
            <sz val="12"/>
            <rFont val="宋体"/>
            <charset val="134"/>
          </rPr>
          <t>Administrator:</t>
        </r>
        <r>
          <rPr>
            <sz val="12"/>
            <rFont val="宋体"/>
            <charset val="134"/>
          </rPr>
          <t xml:space="preserve">
1/5 上客供亚马逊外箱贴纸 22pcs</t>
        </r>
      </text>
    </comment>
    <comment ref="AD267" authorId="0">
      <text>
        <r>
          <rPr>
            <b/>
            <sz val="12"/>
            <rFont val="宋体"/>
            <charset val="134"/>
          </rPr>
          <t>Administrator:</t>
        </r>
        <r>
          <rPr>
            <sz val="12"/>
            <rFont val="宋体"/>
            <charset val="134"/>
          </rPr>
          <t xml:space="preserve">
1601070 1/10 276pcs 华兴三B8</t>
        </r>
      </text>
    </comment>
    <comment ref="AG267" authorId="0">
      <text>
        <r>
          <rPr>
            <b/>
            <sz val="12"/>
            <rFont val="宋体"/>
            <charset val="134"/>
          </rPr>
          <t>Administrator:</t>
        </r>
        <r>
          <rPr>
            <sz val="12"/>
            <rFont val="宋体"/>
            <charset val="134"/>
          </rPr>
          <t xml:space="preserve">
1/5 上客供亚马逊外箱贴纸 23pcs</t>
        </r>
      </text>
    </comment>
    <comment ref="AD268" authorId="0">
      <text>
        <r>
          <rPr>
            <b/>
            <sz val="12"/>
            <rFont val="宋体"/>
            <charset val="134"/>
          </rPr>
          <t>Administrator:</t>
        </r>
        <r>
          <rPr>
            <sz val="12"/>
            <rFont val="宋体"/>
            <charset val="134"/>
          </rPr>
          <t xml:space="preserve">
1601070 1/10 24pcs 华兴三B14</t>
        </r>
      </text>
    </comment>
    <comment ref="AG268" authorId="0">
      <text>
        <r>
          <rPr>
            <b/>
            <sz val="12"/>
            <rFont val="宋体"/>
            <charset val="134"/>
          </rPr>
          <t>Administrator:</t>
        </r>
        <r>
          <rPr>
            <sz val="12"/>
            <rFont val="宋体"/>
            <charset val="134"/>
          </rPr>
          <t xml:space="preserve">
1/5 上客供亚马逊外箱贴纸 2pcs</t>
        </r>
      </text>
    </comment>
    <comment ref="AD269" authorId="0">
      <text>
        <r>
          <rPr>
            <b/>
            <sz val="12"/>
            <rFont val="宋体"/>
            <charset val="134"/>
          </rPr>
          <t>Administrator:</t>
        </r>
        <r>
          <rPr>
            <sz val="12"/>
            <rFont val="宋体"/>
            <charset val="134"/>
          </rPr>
          <t xml:space="preserve">
1600978 1/4 12pcs 华兴三B14</t>
        </r>
      </text>
    </comment>
    <comment ref="AG269" authorId="0">
      <text>
        <r>
          <rPr>
            <b/>
            <sz val="12"/>
            <rFont val="宋体"/>
            <charset val="134"/>
          </rPr>
          <t>Administrator:</t>
        </r>
        <r>
          <rPr>
            <sz val="12"/>
            <rFont val="宋体"/>
            <charset val="134"/>
          </rPr>
          <t xml:space="preserve">
12/23 上客供亚马逊外箱贴纸 1pcs</t>
        </r>
      </text>
    </comment>
    <comment ref="AD270" authorId="0">
      <text>
        <r>
          <rPr>
            <b/>
            <sz val="12"/>
            <rFont val="宋体"/>
            <charset val="134"/>
          </rPr>
          <t>Administrator:</t>
        </r>
        <r>
          <rPr>
            <sz val="12"/>
            <rFont val="宋体"/>
            <charset val="134"/>
          </rPr>
          <t xml:space="preserve">
1600978 1/4 12pcs 华兴三B14</t>
        </r>
      </text>
    </comment>
    <comment ref="AG270" authorId="0">
      <text>
        <r>
          <rPr>
            <b/>
            <sz val="12"/>
            <rFont val="宋体"/>
            <charset val="134"/>
          </rPr>
          <t>Administrator:</t>
        </r>
        <r>
          <rPr>
            <sz val="12"/>
            <rFont val="宋体"/>
            <charset val="134"/>
          </rPr>
          <t xml:space="preserve">
12/23 上客供亚马逊外箱贴纸 1pcs</t>
        </r>
      </text>
    </comment>
    <comment ref="AD271" authorId="0">
      <text>
        <r>
          <rPr>
            <b/>
            <sz val="12"/>
            <rFont val="宋体"/>
            <charset val="134"/>
          </rPr>
          <t>Administrator:</t>
        </r>
        <r>
          <rPr>
            <sz val="12"/>
            <rFont val="宋体"/>
            <charset val="134"/>
          </rPr>
          <t xml:space="preserve">
1600978 1/4 12pcs 华兴三B14</t>
        </r>
      </text>
    </comment>
    <comment ref="AG271" authorId="0">
      <text>
        <r>
          <rPr>
            <b/>
            <sz val="12"/>
            <rFont val="宋体"/>
            <charset val="134"/>
          </rPr>
          <t>Administrator:</t>
        </r>
        <r>
          <rPr>
            <sz val="12"/>
            <rFont val="宋体"/>
            <charset val="134"/>
          </rPr>
          <t xml:space="preserve">
12/23 上客供亚马逊外箱贴纸 1pcs</t>
        </r>
      </text>
    </comment>
    <comment ref="AD272" authorId="0">
      <text>
        <r>
          <rPr>
            <b/>
            <sz val="12"/>
            <rFont val="宋体"/>
            <charset val="134"/>
          </rPr>
          <t>Administrator:</t>
        </r>
        <r>
          <rPr>
            <sz val="12"/>
            <rFont val="宋体"/>
            <charset val="134"/>
          </rPr>
          <t xml:space="preserve">
1601236 1/22 600pcs 华兴三B13</t>
        </r>
      </text>
    </comment>
    <comment ref="AG272" authorId="0">
      <text>
        <r>
          <rPr>
            <b/>
            <sz val="12"/>
            <rFont val="宋体"/>
            <charset val="134"/>
          </rPr>
          <t>Administrator:</t>
        </r>
        <r>
          <rPr>
            <sz val="12"/>
            <rFont val="宋体"/>
            <charset val="134"/>
          </rPr>
          <t xml:space="preserve">
1/9 上UPC贴纸 600pcs</t>
        </r>
      </text>
    </comment>
    <comment ref="AD273" authorId="0">
      <text>
        <r>
          <rPr>
            <b/>
            <sz val="12"/>
            <rFont val="宋体"/>
            <charset val="134"/>
          </rPr>
          <t>Administrator:</t>
        </r>
        <r>
          <rPr>
            <sz val="12"/>
            <rFont val="宋体"/>
            <charset val="134"/>
          </rPr>
          <t xml:space="preserve">
5000252 1/27 4500pcs 华兴三A24</t>
        </r>
      </text>
    </comment>
    <comment ref="AD274" authorId="0">
      <text>
        <r>
          <rPr>
            <b/>
            <sz val="12"/>
            <rFont val="宋体"/>
            <charset val="134"/>
          </rPr>
          <t>Administrator:</t>
        </r>
        <r>
          <rPr>
            <sz val="12"/>
            <rFont val="宋体"/>
            <charset val="134"/>
          </rPr>
          <t xml:space="preserve">
5000252 1/27 1992pcs 华兴三B16
1405695 1/29   24pcs 华兴三B16</t>
        </r>
      </text>
    </comment>
    <comment ref="AG274" authorId="0">
      <text>
        <r>
          <rPr>
            <b/>
            <sz val="12"/>
            <rFont val="宋体"/>
            <charset val="134"/>
          </rPr>
          <t>Administrator:</t>
        </r>
        <r>
          <rPr>
            <sz val="12"/>
            <rFont val="宋体"/>
            <charset val="134"/>
          </rPr>
          <t xml:space="preserve">
1/5 上客供价格贴纸 2100pcs</t>
        </r>
      </text>
    </comment>
    <comment ref="AD275" authorId="0">
      <text>
        <r>
          <rPr>
            <b/>
            <sz val="12"/>
            <rFont val="宋体"/>
            <charset val="134"/>
          </rPr>
          <t>Administrator:</t>
        </r>
        <r>
          <rPr>
            <sz val="12"/>
            <rFont val="宋体"/>
            <charset val="134"/>
          </rPr>
          <t xml:space="preserve">
1405621 2/4 48pcs 华兴三B14</t>
        </r>
      </text>
    </comment>
    <comment ref="AG275" authorId="0">
      <text>
        <r>
          <rPr>
            <b/>
            <sz val="12"/>
            <rFont val="宋体"/>
            <charset val="134"/>
          </rPr>
          <t>Administrator:</t>
        </r>
        <r>
          <rPr>
            <sz val="12"/>
            <rFont val="宋体"/>
            <charset val="134"/>
          </rPr>
          <t xml:space="preserve">
1/28 上客供亚马逊外箱贴纸 4pcs</t>
        </r>
      </text>
    </comment>
    <comment ref="AD276" authorId="0">
      <text>
        <r>
          <rPr>
            <b/>
            <sz val="12"/>
            <rFont val="宋体"/>
            <charset val="134"/>
          </rPr>
          <t>Administrator:</t>
        </r>
        <r>
          <rPr>
            <sz val="12"/>
            <rFont val="宋体"/>
            <charset val="134"/>
          </rPr>
          <t xml:space="preserve">
1405621 2/4 12pcs 华兴三B14
</t>
        </r>
      </text>
    </comment>
    <comment ref="AG276" authorId="0">
      <text>
        <r>
          <rPr>
            <b/>
            <sz val="12"/>
            <rFont val="宋体"/>
            <charset val="134"/>
          </rPr>
          <t>Administrator:</t>
        </r>
        <r>
          <rPr>
            <sz val="12"/>
            <rFont val="宋体"/>
            <charset val="134"/>
          </rPr>
          <t xml:space="preserve">
1/28 上客供亚马逊外箱贴纸 1pcs</t>
        </r>
      </text>
    </comment>
    <comment ref="AD277" authorId="0">
      <text>
        <r>
          <rPr>
            <b/>
            <sz val="12"/>
            <rFont val="宋体"/>
            <charset val="134"/>
          </rPr>
          <t>Administrator:</t>
        </r>
        <r>
          <rPr>
            <sz val="12"/>
            <rFont val="宋体"/>
            <charset val="134"/>
          </rPr>
          <t xml:space="preserve">
1405621 2/4 12pcs 华兴三B14
</t>
        </r>
      </text>
    </comment>
    <comment ref="AG277" authorId="0">
      <text>
        <r>
          <rPr>
            <b/>
            <sz val="12"/>
            <rFont val="宋体"/>
            <charset val="134"/>
          </rPr>
          <t>Administrator:</t>
        </r>
        <r>
          <rPr>
            <sz val="12"/>
            <rFont val="宋体"/>
            <charset val="134"/>
          </rPr>
          <t xml:space="preserve">
1/28 上客供亚马逊外箱贴纸 1pcs</t>
        </r>
      </text>
    </comment>
    <comment ref="AD278" authorId="0">
      <text>
        <r>
          <rPr>
            <b/>
            <sz val="12"/>
            <rFont val="宋体"/>
            <charset val="134"/>
          </rPr>
          <t>Administrator:</t>
        </r>
        <r>
          <rPr>
            <sz val="12"/>
            <rFont val="宋体"/>
            <charset val="134"/>
          </rPr>
          <t xml:space="preserve">
1405621 2/4 12pcs 华兴三B14
</t>
        </r>
      </text>
    </comment>
    <comment ref="AG278" authorId="0">
      <text>
        <r>
          <rPr>
            <b/>
            <sz val="12"/>
            <rFont val="宋体"/>
            <charset val="134"/>
          </rPr>
          <t>Administrator:</t>
        </r>
        <r>
          <rPr>
            <sz val="12"/>
            <rFont val="宋体"/>
            <charset val="134"/>
          </rPr>
          <t xml:space="preserve">
1/28 上客供亚马逊外箱贴纸 1pcs</t>
        </r>
      </text>
    </comment>
    <comment ref="AD279" authorId="0">
      <text>
        <r>
          <rPr>
            <b/>
            <sz val="12"/>
            <rFont val="宋体"/>
            <charset val="134"/>
          </rPr>
          <t>Administrator:</t>
        </r>
        <r>
          <rPr>
            <sz val="12"/>
            <rFont val="宋体"/>
            <charset val="134"/>
          </rPr>
          <t xml:space="preserve">
1405586 2/6 612pcs 华兴三B14</t>
        </r>
      </text>
    </comment>
    <comment ref="AG279" authorId="0">
      <text>
        <r>
          <rPr>
            <b/>
            <sz val="12"/>
            <rFont val="宋体"/>
            <charset val="134"/>
          </rPr>
          <t>Administrator:</t>
        </r>
        <r>
          <rPr>
            <sz val="12"/>
            <rFont val="宋体"/>
            <charset val="134"/>
          </rPr>
          <t xml:space="preserve">
1/28 上客供亚马逊外箱贴纸 51pcs</t>
        </r>
      </text>
    </comment>
    <comment ref="AD280" authorId="0">
      <text>
        <r>
          <rPr>
            <b/>
            <sz val="12"/>
            <rFont val="宋体"/>
            <charset val="134"/>
          </rPr>
          <t>Administrator:</t>
        </r>
        <r>
          <rPr>
            <sz val="12"/>
            <rFont val="宋体"/>
            <charset val="134"/>
          </rPr>
          <t xml:space="preserve">
1405586 2/6 228pcs 华兴三B14</t>
        </r>
      </text>
    </comment>
    <comment ref="AG280" authorId="0">
      <text>
        <r>
          <rPr>
            <b/>
            <sz val="12"/>
            <rFont val="宋体"/>
            <charset val="134"/>
          </rPr>
          <t>Administrator:</t>
        </r>
        <r>
          <rPr>
            <sz val="12"/>
            <rFont val="宋体"/>
            <charset val="134"/>
          </rPr>
          <t xml:space="preserve">
1/30 上客供亚马逊外箱贴纸 19pcs</t>
        </r>
      </text>
    </comment>
    <comment ref="AD281" authorId="0">
      <text>
        <r>
          <rPr>
            <b/>
            <sz val="12"/>
            <rFont val="宋体"/>
            <charset val="134"/>
          </rPr>
          <t>Administrator:</t>
        </r>
        <r>
          <rPr>
            <sz val="12"/>
            <rFont val="宋体"/>
            <charset val="134"/>
          </rPr>
          <t xml:space="preserve">
1405586 2/6 36pcs 华兴三B14</t>
        </r>
      </text>
    </comment>
    <comment ref="AG281" authorId="0">
      <text>
        <r>
          <rPr>
            <b/>
            <sz val="12"/>
            <rFont val="宋体"/>
            <charset val="134"/>
          </rPr>
          <t>Administrator:</t>
        </r>
        <r>
          <rPr>
            <sz val="12"/>
            <rFont val="宋体"/>
            <charset val="134"/>
          </rPr>
          <t xml:space="preserve">
1/30 上客供亚马逊外箱贴纸 3pcs</t>
        </r>
      </text>
    </comment>
    <comment ref="AD282" authorId="0">
      <text>
        <r>
          <rPr>
            <b/>
            <sz val="12"/>
            <rFont val="宋体"/>
            <charset val="134"/>
          </rPr>
          <t>Administrator:</t>
        </r>
        <r>
          <rPr>
            <sz val="12"/>
            <rFont val="宋体"/>
            <charset val="134"/>
          </rPr>
          <t xml:space="preserve">
1405586 2/6 252pcs 华兴三B14</t>
        </r>
      </text>
    </comment>
    <comment ref="AG282" authorId="0">
      <text>
        <r>
          <rPr>
            <b/>
            <sz val="12"/>
            <rFont val="宋体"/>
            <charset val="134"/>
          </rPr>
          <t>Administrator:</t>
        </r>
        <r>
          <rPr>
            <sz val="12"/>
            <rFont val="宋体"/>
            <charset val="134"/>
          </rPr>
          <t xml:space="preserve">
1/30 上客供亚马逊外箱贴纸 21pcs</t>
        </r>
      </text>
    </comment>
    <comment ref="AD283" authorId="0">
      <text>
        <r>
          <rPr>
            <b/>
            <sz val="12"/>
            <rFont val="宋体"/>
            <charset val="134"/>
          </rPr>
          <t>Administrator:</t>
        </r>
        <r>
          <rPr>
            <sz val="12"/>
            <rFont val="宋体"/>
            <charset val="134"/>
          </rPr>
          <t xml:space="preserve">
1405586 2/6 84pcs 华兴三B14</t>
        </r>
      </text>
    </comment>
    <comment ref="AG283" authorId="0">
      <text>
        <r>
          <rPr>
            <b/>
            <sz val="12"/>
            <rFont val="宋体"/>
            <charset val="134"/>
          </rPr>
          <t>Administrator:</t>
        </r>
        <r>
          <rPr>
            <sz val="12"/>
            <rFont val="宋体"/>
            <charset val="134"/>
          </rPr>
          <t xml:space="preserve">
1/30 上客供亚马逊外箱贴纸 7pcs</t>
        </r>
      </text>
    </comment>
    <comment ref="AG285" authorId="0">
      <text>
        <r>
          <rPr>
            <b/>
            <sz val="12"/>
            <rFont val="宋体"/>
            <charset val="134"/>
          </rPr>
          <t>Administrator:</t>
        </r>
        <r>
          <rPr>
            <sz val="12"/>
            <rFont val="宋体"/>
            <charset val="134"/>
          </rPr>
          <t xml:space="preserve">
1/16 上客供价格贴纸 2100pcs</t>
        </r>
      </text>
    </comment>
    <comment ref="AD389" authorId="0">
      <text>
        <r>
          <rPr>
            <b/>
            <sz val="11"/>
            <rFont val="宋体"/>
            <charset val="134"/>
          </rPr>
          <t>Administrator:</t>
        </r>
        <r>
          <rPr>
            <sz val="11"/>
            <rFont val="宋体"/>
            <charset val="134"/>
          </rPr>
          <t xml:space="preserve">
0002268 10/25 2520pcs 华兴三B12</t>
        </r>
      </text>
    </comment>
    <comment ref="AG389" authorId="0">
      <text>
        <r>
          <rPr>
            <b/>
            <sz val="12"/>
            <rFont val="宋体"/>
            <charset val="134"/>
          </rPr>
          <t>Administrator:</t>
        </r>
        <r>
          <rPr>
            <sz val="12"/>
            <rFont val="宋体"/>
            <charset val="134"/>
          </rPr>
          <t xml:space="preserve">
9/27 上荷兰语警语德语call out贴纸 2520pcs</t>
        </r>
      </text>
    </comment>
    <comment ref="AG390" authorId="0">
      <text>
        <r>
          <rPr>
            <b/>
            <sz val="11"/>
            <rFont val="宋体"/>
            <charset val="134"/>
          </rPr>
          <t>Administrator:</t>
        </r>
        <r>
          <rPr>
            <sz val="11"/>
            <rFont val="宋体"/>
            <charset val="134"/>
          </rPr>
          <t xml:space="preserve">
12/8 上进口商贴纸 504pcs
     上EAN条码贴纸 504pcs</t>
        </r>
      </text>
    </comment>
    <comment ref="AD394" authorId="0">
      <text>
        <r>
          <rPr>
            <b/>
            <sz val="11"/>
            <rFont val="宋体"/>
            <charset val="134"/>
          </rPr>
          <t>Administrator:</t>
        </r>
        <r>
          <rPr>
            <sz val="11"/>
            <rFont val="宋体"/>
            <charset val="134"/>
          </rPr>
          <t xml:space="preserve">
0006729 1/13 8778pcs 华兴三B8</t>
        </r>
      </text>
    </comment>
    <comment ref="AD395" authorId="0">
      <text>
        <r>
          <rPr>
            <b/>
            <sz val="11"/>
            <rFont val="宋体"/>
            <charset val="134"/>
          </rPr>
          <t>Administrator:</t>
        </r>
        <r>
          <rPr>
            <sz val="11"/>
            <rFont val="宋体"/>
            <charset val="134"/>
          </rPr>
          <t xml:space="preserve">
0006710 1/17 7686pcs 华兴三BA25</t>
        </r>
      </text>
    </comment>
  </commentList>
</comments>
</file>

<file path=xl/comments4.xml><?xml version="1.0" encoding="utf-8"?>
<comments xmlns="http://schemas.openxmlformats.org/spreadsheetml/2006/main">
  <authors>
    <author>RR</author>
    <author>Administrator</author>
  </authors>
  <commentList>
    <comment ref="AM1" authorId="0">
      <text>
        <r>
          <rPr>
            <b/>
            <sz val="9"/>
            <rFont val="宋体"/>
            <charset val="134"/>
          </rPr>
          <t>RR:
77198SK:
-SOO1无底座带demo；
-S002有底座带demo；
-SOO3无底座带demo</t>
        </r>
      </text>
    </comment>
    <comment ref="AB49" authorId="1">
      <text>
        <r>
          <rPr>
            <b/>
            <sz val="11"/>
            <rFont val="宋体"/>
            <charset val="134"/>
          </rPr>
          <t>Administrator:</t>
        </r>
        <r>
          <rPr>
            <sz val="11"/>
            <rFont val="宋体"/>
            <charset val="134"/>
          </rPr>
          <t xml:space="preserve">
0001328 4/18 6390pcs 张文加</t>
        </r>
      </text>
    </comment>
    <comment ref="AD50" authorId="1">
      <text>
        <r>
          <rPr>
            <b/>
            <sz val="12"/>
            <rFont val="宋体"/>
            <charset val="134"/>
          </rPr>
          <t>Administrator:</t>
        </r>
        <r>
          <rPr>
            <sz val="12"/>
            <rFont val="宋体"/>
            <charset val="134"/>
          </rPr>
          <t xml:space="preserve">
4/21 上SPEC CODE贴纸 3844pcs</t>
        </r>
      </text>
    </comment>
    <comment ref="AD68" authorId="1">
      <text>
        <r>
          <rPr>
            <b/>
            <sz val="11"/>
            <rFont val="宋体"/>
            <charset val="134"/>
          </rPr>
          <t>Administrator:</t>
        </r>
        <r>
          <rPr>
            <sz val="11"/>
            <rFont val="宋体"/>
            <charset val="134"/>
          </rPr>
          <t xml:space="preserve">
4/28 上外箱贴纸 245pcs</t>
        </r>
      </text>
    </comment>
    <comment ref="AD69" authorId="1">
      <text>
        <r>
          <rPr>
            <b/>
            <sz val="11"/>
            <rFont val="宋体"/>
            <charset val="134"/>
          </rPr>
          <t>Administrator:</t>
        </r>
        <r>
          <rPr>
            <sz val="11"/>
            <rFont val="宋体"/>
            <charset val="134"/>
          </rPr>
          <t xml:space="preserve">
4/28 上外箱贴纸 551pcs</t>
        </r>
      </text>
    </comment>
    <comment ref="AD70" authorId="1">
      <text>
        <r>
          <rPr>
            <b/>
            <sz val="11"/>
            <rFont val="宋体"/>
            <charset val="134"/>
          </rPr>
          <t>Administrator:</t>
        </r>
        <r>
          <rPr>
            <sz val="11"/>
            <rFont val="宋体"/>
            <charset val="134"/>
          </rPr>
          <t xml:space="preserve">
4/28 上外箱贴纸 245pcs</t>
        </r>
      </text>
    </comment>
    <comment ref="AD71" authorId="1">
      <text>
        <r>
          <rPr>
            <b/>
            <sz val="11"/>
            <rFont val="宋体"/>
            <charset val="134"/>
          </rPr>
          <t>Administrator:</t>
        </r>
        <r>
          <rPr>
            <sz val="11"/>
            <rFont val="宋体"/>
            <charset val="134"/>
          </rPr>
          <t xml:space="preserve">
4/28 上外箱贴纸 428pcs</t>
        </r>
      </text>
    </comment>
    <comment ref="AD72" authorId="1">
      <text>
        <r>
          <rPr>
            <b/>
            <sz val="11"/>
            <rFont val="宋体"/>
            <charset val="134"/>
          </rPr>
          <t>Administrator:</t>
        </r>
        <r>
          <rPr>
            <sz val="11"/>
            <rFont val="宋体"/>
            <charset val="134"/>
          </rPr>
          <t xml:space="preserve">
4/28 上外箱贴纸 367pcs</t>
        </r>
      </text>
    </comment>
    <comment ref="AD73" authorId="1">
      <text>
        <r>
          <rPr>
            <b/>
            <sz val="11"/>
            <rFont val="宋体"/>
            <charset val="134"/>
          </rPr>
          <t>Administrator:</t>
        </r>
        <r>
          <rPr>
            <sz val="11"/>
            <rFont val="宋体"/>
            <charset val="134"/>
          </rPr>
          <t xml:space="preserve">
4/28 上外箱贴纸 428pcs</t>
        </r>
      </text>
    </comment>
    <comment ref="AD74" authorId="1">
      <text>
        <r>
          <rPr>
            <b/>
            <sz val="11"/>
            <rFont val="宋体"/>
            <charset val="134"/>
          </rPr>
          <t>Administrator:</t>
        </r>
        <r>
          <rPr>
            <sz val="11"/>
            <rFont val="宋体"/>
            <charset val="134"/>
          </rPr>
          <t xml:space="preserve">
4/28 上外箱贴纸 367pcs</t>
        </r>
      </text>
    </comment>
    <comment ref="AD75" authorId="1">
      <text>
        <r>
          <rPr>
            <b/>
            <sz val="11"/>
            <rFont val="宋体"/>
            <charset val="134"/>
          </rPr>
          <t>Administrator:</t>
        </r>
        <r>
          <rPr>
            <sz val="11"/>
            <rFont val="宋体"/>
            <charset val="134"/>
          </rPr>
          <t xml:space="preserve">
4/28 上外箱贴纸 245pcs</t>
        </r>
      </text>
    </comment>
    <comment ref="AD76" authorId="1">
      <text>
        <r>
          <rPr>
            <b/>
            <sz val="11"/>
            <rFont val="宋体"/>
            <charset val="134"/>
          </rPr>
          <t>Administrator:</t>
        </r>
        <r>
          <rPr>
            <sz val="11"/>
            <rFont val="宋体"/>
            <charset val="134"/>
          </rPr>
          <t xml:space="preserve">
4/28 上外箱贴纸 184pcs</t>
        </r>
      </text>
    </comment>
    <comment ref="AD77" authorId="1">
      <text>
        <r>
          <rPr>
            <b/>
            <sz val="11"/>
            <rFont val="宋体"/>
            <charset val="134"/>
          </rPr>
          <t>Administrator:</t>
        </r>
        <r>
          <rPr>
            <sz val="11"/>
            <rFont val="宋体"/>
            <charset val="134"/>
          </rPr>
          <t xml:space="preserve">
4/28 上外箱贴纸 184pcs</t>
        </r>
      </text>
    </comment>
    <comment ref="AD78" authorId="1">
      <text>
        <r>
          <rPr>
            <b/>
            <sz val="11"/>
            <rFont val="宋体"/>
            <charset val="134"/>
          </rPr>
          <t>Administrator:</t>
        </r>
        <r>
          <rPr>
            <sz val="11"/>
            <rFont val="宋体"/>
            <charset val="134"/>
          </rPr>
          <t xml:space="preserve">
4/28 上外箱贴纸 245pcs</t>
        </r>
      </text>
    </comment>
    <comment ref="AD79" authorId="1">
      <text>
        <r>
          <rPr>
            <b/>
            <sz val="11"/>
            <rFont val="宋体"/>
            <charset val="134"/>
          </rPr>
          <t>Administrator:</t>
        </r>
        <r>
          <rPr>
            <sz val="11"/>
            <rFont val="宋体"/>
            <charset val="134"/>
          </rPr>
          <t xml:space="preserve">
4/28 上外箱贴纸 184pcs</t>
        </r>
      </text>
    </comment>
    <comment ref="AD80" authorId="1">
      <text>
        <r>
          <rPr>
            <b/>
            <sz val="11"/>
            <rFont val="宋体"/>
            <charset val="134"/>
          </rPr>
          <t>Administrator:</t>
        </r>
        <r>
          <rPr>
            <sz val="11"/>
            <rFont val="宋体"/>
            <charset val="134"/>
          </rPr>
          <t xml:space="preserve">
4/28 上外箱贴纸 122pcs</t>
        </r>
      </text>
    </comment>
    <comment ref="AD81" authorId="1">
      <text>
        <r>
          <rPr>
            <b/>
            <sz val="11"/>
            <rFont val="宋体"/>
            <charset val="134"/>
          </rPr>
          <t>Administrator:</t>
        </r>
        <r>
          <rPr>
            <sz val="11"/>
            <rFont val="宋体"/>
            <charset val="134"/>
          </rPr>
          <t xml:space="preserve">
4/28 上外箱贴纸 122pcs</t>
        </r>
      </text>
    </comment>
    <comment ref="AB103" authorId="1">
      <text>
        <r>
          <rPr>
            <b/>
            <sz val="11"/>
            <rFont val="宋体"/>
            <charset val="134"/>
          </rPr>
          <t>Administrator:</t>
        </r>
        <r>
          <rPr>
            <sz val="11"/>
            <rFont val="宋体"/>
            <charset val="134"/>
          </rPr>
          <t xml:space="preserve">
0010092 5/23 1980pcs 一A3</t>
        </r>
      </text>
    </comment>
    <comment ref="AD103" authorId="1">
      <text>
        <r>
          <rPr>
            <b/>
            <sz val="12"/>
            <rFont val="宋体"/>
            <charset val="134"/>
          </rPr>
          <t>Administrator:</t>
        </r>
        <r>
          <rPr>
            <sz val="12"/>
            <rFont val="宋体"/>
            <charset val="134"/>
          </rPr>
          <t xml:space="preserve">
5/4 上警语贴纸 1980pcs
    上条码贴纸 1980pcs</t>
        </r>
      </text>
    </comment>
    <comment ref="AD107" authorId="1">
      <text>
        <r>
          <rPr>
            <b/>
            <sz val="11"/>
            <rFont val="宋体"/>
            <charset val="134"/>
          </rPr>
          <t>Administrator:</t>
        </r>
        <r>
          <rPr>
            <sz val="11"/>
            <rFont val="宋体"/>
            <charset val="134"/>
          </rPr>
          <t xml:space="preserve">
7/8 上客供价格贴纸 2244pcs</t>
        </r>
      </text>
    </comment>
    <comment ref="AD108" authorId="1">
      <text>
        <r>
          <rPr>
            <b/>
            <sz val="11"/>
            <rFont val="宋体"/>
            <charset val="134"/>
          </rPr>
          <t>Administrator:</t>
        </r>
        <r>
          <rPr>
            <sz val="11"/>
            <rFont val="宋体"/>
            <charset val="134"/>
          </rPr>
          <t xml:space="preserve">
7/19 上客供外箱贴纸 1452pcs</t>
        </r>
      </text>
    </comment>
    <comment ref="AB114" authorId="1">
      <text>
        <r>
          <rPr>
            <b/>
            <sz val="11"/>
            <rFont val="宋体"/>
            <charset val="134"/>
          </rPr>
          <t>Administrator:</t>
        </r>
        <r>
          <rPr>
            <sz val="11"/>
            <rFont val="宋体"/>
            <charset val="134"/>
          </rPr>
          <t xml:space="preserve">
0000122 8/20 3348pcs 铁C2
车间消耗取消单6390pcs</t>
        </r>
      </text>
    </comment>
    <comment ref="AD114" authorId="1">
      <text>
        <r>
          <rPr>
            <b/>
            <sz val="11"/>
            <rFont val="宋体"/>
            <charset val="134"/>
          </rPr>
          <t>Administrator:</t>
        </r>
        <r>
          <rPr>
            <sz val="11"/>
            <rFont val="宋体"/>
            <charset val="134"/>
          </rPr>
          <t xml:space="preserve">
8/10 收到进口商贴纸 9720pcs
(上湖南3330pcs+东莞返工6390pcs）</t>
        </r>
      </text>
    </comment>
    <comment ref="T115" authorId="1">
      <text>
        <r>
          <rPr>
            <b/>
            <sz val="9"/>
            <rFont val="宋体"/>
            <charset val="134"/>
          </rPr>
          <t>Administrator:</t>
        </r>
        <r>
          <rPr>
            <sz val="9"/>
            <rFont val="宋体"/>
            <charset val="134"/>
          </rPr>
          <t xml:space="preserve">
8/10 收到RFID 贴纸
</t>
        </r>
      </text>
    </comment>
    <comment ref="AF115" authorId="1">
      <text>
        <r>
          <rPr>
            <b/>
            <sz val="11"/>
            <rFont val="宋体"/>
            <charset val="134"/>
          </rPr>
          <t>Administrator:</t>
        </r>
        <r>
          <rPr>
            <sz val="11"/>
            <rFont val="宋体"/>
            <charset val="134"/>
          </rPr>
          <t xml:space="preserve">
8/10 上客供RFID贴纸 122390pcs</t>
        </r>
      </text>
    </comment>
    <comment ref="AF117" authorId="1">
      <text>
        <r>
          <rPr>
            <b/>
            <sz val="11"/>
            <rFont val="宋体"/>
            <charset val="134"/>
          </rPr>
          <t>Administrator:</t>
        </r>
        <r>
          <rPr>
            <sz val="11"/>
            <rFont val="宋体"/>
            <charset val="134"/>
          </rPr>
          <t xml:space="preserve">
11/21 上白色防盗贴纸 2520pcs</t>
        </r>
      </text>
    </comment>
    <comment ref="AF118" authorId="1">
      <text>
        <r>
          <rPr>
            <b/>
            <sz val="11"/>
            <rFont val="宋体"/>
            <charset val="134"/>
          </rPr>
          <t>Administrator:</t>
        </r>
        <r>
          <rPr>
            <sz val="11"/>
            <rFont val="宋体"/>
            <charset val="134"/>
          </rPr>
          <t xml:space="preserve">
11/21 上白色防盗贴纸 72pcs</t>
        </r>
      </text>
    </comment>
    <comment ref="AF119" authorId="1">
      <text>
        <r>
          <rPr>
            <b/>
            <sz val="11"/>
            <rFont val="宋体"/>
            <charset val="134"/>
          </rPr>
          <t>Administrator:</t>
        </r>
        <r>
          <rPr>
            <sz val="11"/>
            <rFont val="宋体"/>
            <charset val="134"/>
          </rPr>
          <t xml:space="preserve">
11/21 上白色防盗贴纸 3096pcs</t>
        </r>
      </text>
    </comment>
    <comment ref="AF120" authorId="1">
      <text>
        <r>
          <rPr>
            <b/>
            <sz val="11"/>
            <rFont val="宋体"/>
            <charset val="134"/>
          </rPr>
          <t>Administrator:</t>
        </r>
        <r>
          <rPr>
            <sz val="11"/>
            <rFont val="宋体"/>
            <charset val="134"/>
          </rPr>
          <t xml:space="preserve">
11/21 上白色防盗贴纸 108pcs</t>
        </r>
      </text>
    </comment>
    <comment ref="AF124" authorId="1">
      <text>
        <r>
          <rPr>
            <b/>
            <sz val="11"/>
            <rFont val="宋体"/>
            <charset val="134"/>
          </rPr>
          <t>Administrator:</t>
        </r>
        <r>
          <rPr>
            <sz val="11"/>
            <rFont val="宋体"/>
            <charset val="134"/>
          </rPr>
          <t xml:space="preserve">
11/9 上无香味贴纸（正面） 1440pcs 共用
     上无香味贴纸（侧面） 1440pcs 共用
11/14 上EAN贴纸 4086pcs
      上警告语贴纸 4086pcs
      上侧面无香贴纸 238pcs</t>
        </r>
      </text>
    </comment>
    <comment ref="AF129" authorId="1">
      <text>
        <r>
          <rPr>
            <b/>
            <sz val="11"/>
            <rFont val="宋体"/>
            <charset val="134"/>
          </rPr>
          <t>Administrator:</t>
        </r>
        <r>
          <rPr>
            <sz val="11"/>
            <rFont val="宋体"/>
            <charset val="134"/>
          </rPr>
          <t xml:space="preserve">
11/9 上无香味贴纸（正面） 1440pcs 共用
     上无香味贴纸（侧面） 1440pcs 共用</t>
        </r>
      </text>
    </comment>
    <comment ref="AF146" authorId="1">
      <text>
        <r>
          <rPr>
            <b/>
            <sz val="11"/>
            <rFont val="宋体"/>
            <charset val="134"/>
          </rPr>
          <t>Administrator:</t>
        </r>
        <r>
          <rPr>
            <sz val="11"/>
            <rFont val="宋体"/>
            <charset val="134"/>
          </rPr>
          <t xml:space="preserve">
7/7 上白色防盗贴纸 1944pcs</t>
        </r>
      </text>
    </comment>
    <comment ref="AF148" authorId="1">
      <text>
        <r>
          <rPr>
            <b/>
            <sz val="11"/>
            <rFont val="宋体"/>
            <charset val="134"/>
          </rPr>
          <t>Administrator:</t>
        </r>
        <r>
          <rPr>
            <sz val="11"/>
            <rFont val="宋体"/>
            <charset val="134"/>
          </rPr>
          <t xml:space="preserve">
7/12 上客供RFID贴纸 1080pcs</t>
        </r>
      </text>
    </comment>
    <comment ref="AF149" authorId="1">
      <text>
        <r>
          <rPr>
            <b/>
            <sz val="11"/>
            <rFont val="宋体"/>
            <charset val="134"/>
          </rPr>
          <t>Administrator:</t>
        </r>
        <r>
          <rPr>
            <sz val="11"/>
            <rFont val="宋体"/>
            <charset val="134"/>
          </rPr>
          <t xml:space="preserve">
7/12 上客供RFID贴纸 1080pcs</t>
        </r>
      </text>
    </comment>
    <comment ref="AF150" authorId="1">
      <text>
        <r>
          <rPr>
            <b/>
            <sz val="11"/>
            <rFont val="宋体"/>
            <charset val="134"/>
          </rPr>
          <t>Administrator:</t>
        </r>
        <r>
          <rPr>
            <sz val="11"/>
            <rFont val="宋体"/>
            <charset val="134"/>
          </rPr>
          <t xml:space="preserve">
7/12 上客供RFID贴纸 1080pcs</t>
        </r>
      </text>
    </comment>
    <comment ref="AF151" authorId="1">
      <text>
        <r>
          <rPr>
            <b/>
            <sz val="11"/>
            <rFont val="宋体"/>
            <charset val="134"/>
          </rPr>
          <t>Administrator:</t>
        </r>
        <r>
          <rPr>
            <sz val="11"/>
            <rFont val="宋体"/>
            <charset val="134"/>
          </rPr>
          <t xml:space="preserve">
7/12 上客供RFID贴纸 2160pcs</t>
        </r>
      </text>
    </comment>
    <comment ref="AF152" authorId="1">
      <text>
        <r>
          <rPr>
            <b/>
            <sz val="11"/>
            <rFont val="宋体"/>
            <charset val="134"/>
          </rPr>
          <t>Administrator:</t>
        </r>
        <r>
          <rPr>
            <sz val="11"/>
            <rFont val="宋体"/>
            <charset val="134"/>
          </rPr>
          <t xml:space="preserve">
7/12 上客供RFID贴纸 1080pcs</t>
        </r>
      </text>
    </comment>
    <comment ref="AF153" authorId="1">
      <text>
        <r>
          <rPr>
            <b/>
            <sz val="11"/>
            <rFont val="宋体"/>
            <charset val="134"/>
          </rPr>
          <t>Administrator:</t>
        </r>
        <r>
          <rPr>
            <sz val="11"/>
            <rFont val="宋体"/>
            <charset val="134"/>
          </rPr>
          <t xml:space="preserve">
7/12 上客供RFID贴纸 1080pcs</t>
        </r>
      </text>
    </comment>
    <comment ref="AF154" authorId="1">
      <text>
        <r>
          <rPr>
            <b/>
            <sz val="11"/>
            <rFont val="宋体"/>
            <charset val="134"/>
          </rPr>
          <t>Administrator:</t>
        </r>
        <r>
          <rPr>
            <sz val="11"/>
            <rFont val="宋体"/>
            <charset val="134"/>
          </rPr>
          <t xml:space="preserve">
7/12 上客供RFID贴纸 1080pcs</t>
        </r>
      </text>
    </comment>
    <comment ref="AF155" authorId="1">
      <text>
        <r>
          <rPr>
            <b/>
            <sz val="11"/>
            <rFont val="宋体"/>
            <charset val="134"/>
          </rPr>
          <t>Administrator:</t>
        </r>
        <r>
          <rPr>
            <sz val="11"/>
            <rFont val="宋体"/>
            <charset val="134"/>
          </rPr>
          <t xml:space="preserve">
7/12 上客供RFID贴纸 1080pcs</t>
        </r>
      </text>
    </comment>
    <comment ref="AA157" authorId="1">
      <text>
        <r>
          <rPr>
            <b/>
            <sz val="9"/>
            <rFont val="宋体"/>
            <charset val="134"/>
          </rPr>
          <t>Administrator:</t>
        </r>
        <r>
          <rPr>
            <sz val="9"/>
            <rFont val="宋体"/>
            <charset val="134"/>
          </rPr>
          <t xml:space="preserve">
8/28 上客供外箱条码贴纸 518pcs</t>
        </r>
      </text>
    </comment>
    <comment ref="Y177" authorId="1">
      <text>
        <r>
          <rPr>
            <b/>
            <sz val="9"/>
            <rFont val="宋体"/>
            <charset val="134"/>
          </rPr>
          <t>Administrator:</t>
        </r>
        <r>
          <rPr>
            <sz val="9"/>
            <rFont val="宋体"/>
            <charset val="134"/>
          </rPr>
          <t xml:space="preserve">
0002341 9/4 144pcs 一B2
12/7 退回新邵消耗
</t>
        </r>
      </text>
    </comment>
    <comment ref="Y178" authorId="1">
      <text>
        <r>
          <rPr>
            <b/>
            <sz val="9"/>
            <rFont val="宋体"/>
            <charset val="134"/>
          </rPr>
          <t>Administrator:</t>
        </r>
        <r>
          <rPr>
            <sz val="9"/>
            <rFont val="宋体"/>
            <charset val="134"/>
          </rPr>
          <t xml:space="preserve">
0002341 9/4 96pcs 一B2
12/7 退回新邵消耗</t>
        </r>
      </text>
    </comment>
    <comment ref="AF183" authorId="1">
      <text>
        <r>
          <rPr>
            <b/>
            <sz val="12"/>
            <rFont val="宋体"/>
            <charset val="134"/>
          </rPr>
          <t>Administrator:</t>
        </r>
        <r>
          <rPr>
            <sz val="12"/>
            <rFont val="宋体"/>
            <charset val="134"/>
          </rPr>
          <t xml:space="preserve">
9/12 上spec code贴纸 3840pcs</t>
        </r>
      </text>
    </comment>
    <comment ref="AG196" authorId="1">
      <text>
        <r>
          <rPr>
            <b/>
            <sz val="12"/>
            <rFont val="宋体"/>
            <charset val="134"/>
          </rPr>
          <t>Administrator:</t>
        </r>
        <r>
          <rPr>
            <sz val="12"/>
            <rFont val="宋体"/>
            <charset val="134"/>
          </rPr>
          <t xml:space="preserve">
5/11 上环保标贴纸 504pcs</t>
        </r>
      </text>
    </comment>
    <comment ref="AG198" authorId="1">
      <text>
        <r>
          <rPr>
            <b/>
            <sz val="12"/>
            <rFont val="宋体"/>
            <charset val="134"/>
          </rPr>
          <t>Administrator:</t>
        </r>
        <r>
          <rPr>
            <sz val="12"/>
            <rFont val="宋体"/>
            <charset val="134"/>
          </rPr>
          <t xml:space="preserve">
6/7 上白色防盗贴纸 1989pcs
</t>
        </r>
      </text>
    </comment>
    <comment ref="AG199" authorId="1">
      <text>
        <r>
          <rPr>
            <b/>
            <sz val="12"/>
            <rFont val="宋体"/>
            <charset val="134"/>
          </rPr>
          <t>Administrator:</t>
        </r>
        <r>
          <rPr>
            <sz val="12"/>
            <rFont val="宋体"/>
            <charset val="134"/>
          </rPr>
          <t xml:space="preserve">
6/7 上白色防盗贴纸 1508pcs
</t>
        </r>
      </text>
    </comment>
    <comment ref="AG207" authorId="1">
      <text>
        <r>
          <rPr>
            <b/>
            <sz val="12"/>
            <rFont val="宋体"/>
            <charset val="134"/>
          </rPr>
          <t>Administrator:</t>
        </r>
        <r>
          <rPr>
            <sz val="12"/>
            <rFont val="宋体"/>
            <charset val="134"/>
          </rPr>
          <t xml:space="preserve">
9/19 上白色防盗贴纸 1508pcs
10/10 上KM外箱贴纸 116pcs</t>
        </r>
      </text>
    </comment>
    <comment ref="AG208" authorId="1">
      <text>
        <r>
          <rPr>
            <b/>
            <sz val="12"/>
            <rFont val="宋体"/>
            <charset val="134"/>
          </rPr>
          <t>Administrator:</t>
        </r>
        <r>
          <rPr>
            <sz val="12"/>
            <rFont val="宋体"/>
            <charset val="134"/>
          </rPr>
          <t xml:space="preserve">
10/8 上白色防盗贴纸 1508pcs</t>
        </r>
      </text>
    </comment>
    <comment ref="AD209" authorId="1">
      <text>
        <r>
          <rPr>
            <b/>
            <sz val="11"/>
            <rFont val="宋体"/>
            <charset val="134"/>
          </rPr>
          <t>Administrator:</t>
        </r>
        <r>
          <rPr>
            <sz val="11"/>
            <rFont val="宋体"/>
            <charset val="134"/>
          </rPr>
          <t xml:space="preserve">
0011018 5/25 516pcs 华兴三A22</t>
        </r>
      </text>
    </comment>
    <comment ref="AG209" authorId="1">
      <text>
        <r>
          <rPr>
            <b/>
            <sz val="12"/>
            <rFont val="宋体"/>
            <charset val="134"/>
          </rPr>
          <t>Administrator:</t>
        </r>
        <r>
          <rPr>
            <sz val="12"/>
            <rFont val="宋体"/>
            <charset val="134"/>
          </rPr>
          <t xml:space="preserve">
4/18 上亚马逊外箱贴纸 43pcs
5/6 上环保标贴纸 1560pcs
</t>
        </r>
      </text>
    </comment>
    <comment ref="AG213" authorId="1">
      <text>
        <r>
          <rPr>
            <b/>
            <sz val="12"/>
            <rFont val="宋体"/>
            <charset val="134"/>
          </rPr>
          <t>Administrator:</t>
        </r>
        <r>
          <rPr>
            <sz val="12"/>
            <rFont val="宋体"/>
            <charset val="134"/>
          </rPr>
          <t xml:space="preserve">
11/1 上UPC贴纸 598pcs</t>
        </r>
      </text>
    </comment>
    <comment ref="AG214" authorId="1">
      <text>
        <r>
          <rPr>
            <b/>
            <sz val="12"/>
            <rFont val="宋体"/>
            <charset val="134"/>
          </rPr>
          <t>Administrator:</t>
        </r>
        <r>
          <rPr>
            <sz val="12"/>
            <rFont val="宋体"/>
            <charset val="134"/>
          </rPr>
          <t xml:space="preserve">
11/21 上亚马逊客供外箱贴纸 64pcs</t>
        </r>
      </text>
    </comment>
    <comment ref="AG215" authorId="1">
      <text>
        <r>
          <rPr>
            <b/>
            <sz val="12"/>
            <rFont val="宋体"/>
            <charset val="134"/>
          </rPr>
          <t>Administrator:</t>
        </r>
        <r>
          <rPr>
            <sz val="12"/>
            <rFont val="宋体"/>
            <charset val="134"/>
          </rPr>
          <t xml:space="preserve">
11/21 上亚马逊客供外箱贴纸 48pcs</t>
        </r>
      </text>
    </comment>
    <comment ref="AD220" authorId="1">
      <text>
        <r>
          <rPr>
            <b/>
            <sz val="12"/>
            <rFont val="宋体"/>
            <charset val="134"/>
          </rPr>
          <t>Administrator:</t>
        </r>
        <r>
          <rPr>
            <sz val="12"/>
            <rFont val="宋体"/>
            <charset val="134"/>
          </rPr>
          <t xml:space="preserve">
3001737 7/5 200pcs 华兴三B14</t>
        </r>
      </text>
    </comment>
    <comment ref="AG220" authorId="1">
      <text>
        <r>
          <rPr>
            <b/>
            <sz val="12"/>
            <rFont val="宋体"/>
            <charset val="134"/>
          </rPr>
          <t>Administrator:</t>
        </r>
        <r>
          <rPr>
            <sz val="12"/>
            <rFont val="宋体"/>
            <charset val="134"/>
          </rPr>
          <t xml:space="preserve">
6/17 上UPC贴纸 750pcs
168705/168594/168463共用</t>
        </r>
      </text>
    </comment>
    <comment ref="AG221" authorId="1">
      <text>
        <r>
          <rPr>
            <b/>
            <sz val="12"/>
            <rFont val="宋体"/>
            <charset val="134"/>
          </rPr>
          <t>Administrator:</t>
        </r>
        <r>
          <rPr>
            <sz val="12"/>
            <rFont val="宋体"/>
            <charset val="134"/>
          </rPr>
          <t xml:space="preserve">
9/16 上空白贴纸 3000pcs</t>
        </r>
      </text>
    </comment>
    <comment ref="AG224" authorId="1">
      <text>
        <r>
          <rPr>
            <b/>
            <sz val="9"/>
            <rFont val="宋体"/>
            <charset val="134"/>
          </rPr>
          <t>Administrator:</t>
        </r>
        <r>
          <rPr>
            <sz val="9"/>
            <rFont val="宋体"/>
            <charset val="134"/>
          </rPr>
          <t xml:space="preserve">
11/21 上进口商贴纸 1508pcs</t>
        </r>
      </text>
    </comment>
    <comment ref="AG228" authorId="1">
      <text>
        <r>
          <rPr>
            <b/>
            <sz val="12"/>
            <rFont val="宋体"/>
            <charset val="134"/>
          </rPr>
          <t>Administrator:</t>
        </r>
        <r>
          <rPr>
            <sz val="12"/>
            <rFont val="宋体"/>
            <charset val="134"/>
          </rPr>
          <t xml:space="preserve">
11/21 上客供外箱条码贴纸 984pcs</t>
        </r>
      </text>
    </comment>
    <comment ref="AG229" authorId="1">
      <text>
        <r>
          <rPr>
            <b/>
            <sz val="12"/>
            <rFont val="宋体"/>
            <charset val="134"/>
          </rPr>
          <t>Administrator:</t>
        </r>
        <r>
          <rPr>
            <sz val="12"/>
            <rFont val="宋体"/>
            <charset val="134"/>
          </rPr>
          <t xml:space="preserve">
11/21 上客供外箱条码贴纸 436pcs</t>
        </r>
      </text>
    </comment>
  </commentList>
</comments>
</file>

<file path=xl/sharedStrings.xml><?xml version="1.0" encoding="utf-8"?>
<sst xmlns="http://schemas.openxmlformats.org/spreadsheetml/2006/main" count="14755" uniqueCount="3879">
  <si>
    <t>香港接单日期</t>
  </si>
  <si>
    <t>第三方客户名称</t>
  </si>
  <si>
    <t>走货国家</t>
  </si>
  <si>
    <t>ZURU PO NO#</t>
  </si>
  <si>
    <t>第三方客户 PO NO#</t>
  </si>
  <si>
    <t>SKU</t>
  </si>
  <si>
    <t>ITEM#</t>
  </si>
  <si>
    <t>货品名称</t>
  </si>
  <si>
    <t>PO数量(只)</t>
  </si>
  <si>
    <t>内箱装箱数量(只)</t>
  </si>
  <si>
    <t>外箱装箱数量(只)</t>
  </si>
  <si>
    <t>总箱数</t>
  </si>
  <si>
    <t>计划出货期</t>
  </si>
  <si>
    <t>计划验货期</t>
  </si>
  <si>
    <t>第三方客户公证行验货</t>
  </si>
  <si>
    <t>验货结果</t>
  </si>
  <si>
    <t>S/O(截仓期)</t>
  </si>
  <si>
    <t>箱唛
(收到日期)</t>
  </si>
  <si>
    <t>外箱贴纸</t>
  </si>
  <si>
    <t>贴纸资料
(收到日期及订购日期)</t>
  </si>
  <si>
    <t>备注</t>
  </si>
  <si>
    <t>ZURU跟单组员</t>
  </si>
  <si>
    <t>单价USD</t>
  </si>
  <si>
    <t>金额USD</t>
  </si>
  <si>
    <t>发票号</t>
  </si>
  <si>
    <t>系统货号</t>
  </si>
  <si>
    <t>是否入系统</t>
  </si>
  <si>
    <t>下单情况</t>
  </si>
  <si>
    <t>生产情况</t>
  </si>
  <si>
    <t>已回数量</t>
  </si>
  <si>
    <t>欠数</t>
  </si>
  <si>
    <t>HN回复完成时间</t>
  </si>
  <si>
    <t>贴纸</t>
  </si>
  <si>
    <t>纸箱</t>
  </si>
  <si>
    <t>77425
有香味</t>
  </si>
  <si>
    <t>77425
无香味</t>
  </si>
  <si>
    <t>彩盒 A/B版
MA 1L</t>
  </si>
  <si>
    <t>说明书 5L A/B版本</t>
  </si>
  <si>
    <t>彩盒
MA 3L</t>
  </si>
  <si>
    <t>中文版说明书</t>
  </si>
  <si>
    <t>Amazon Mexico, S. DE R.L. DE CV</t>
  </si>
  <si>
    <t>墨西哥</t>
  </si>
  <si>
    <t>64SP3ZYY</t>
  </si>
  <si>
    <t>4500151559-20</t>
  </si>
  <si>
    <t>77425-S001</t>
  </si>
  <si>
    <t>迷你衣柜</t>
  </si>
  <si>
    <t>PASS</t>
  </si>
  <si>
    <t>空白外箱加印ZURU Logo+MADE IN CHINA+SSCC LABEL(客供贴纸），无shipping mark,日期使用ZURU 标准版本</t>
  </si>
  <si>
    <t>有</t>
  </si>
  <si>
    <t>欠</t>
  </si>
  <si>
    <t>日期码格式：ZURU INC(BVI) 标准格式 日期：按实际生产日期
Packaging Info: 
77425: MA 1L+进口商贴纸+SSCC贴纸
Remark: Amazon FOB订单，出口Mexico，外箱最长边不能超过25" （超过了，case pack只能为1），不符合要求的大货，一律不接受。
1.空白外箱加印ZURU Logo+MADE IN CHINA+SSCC LABEL(客供贴纸），无shipping mark,日期使用ZURU 标准版本。SSCC Label显示的是客人自己的item#，SSCC Lab
el 贴在外箱正面的正中间，贴一面即可，跟单订购，贴纸离外箱距必须至少3cm,每一张SSCC Label都是唯一且有不同流水及条码的，没有损耗，绝对不可贴错，否
则贴错或损坏一张会导致全部都错，千万要注意！
2. 日期码使用ZURU标准版
3. 客户PO备注在remark处
5.77425: 3PCS AAA Batteries (Not included)</t>
  </si>
  <si>
    <t>Zoe Luo</t>
  </si>
  <si>
    <t>88897-1.6</t>
  </si>
  <si>
    <t>已入</t>
  </si>
  <si>
    <t>系统出单</t>
  </si>
  <si>
    <t>OK</t>
  </si>
  <si>
    <t>ZMPO24913</t>
  </si>
  <si>
    <t>周转箱</t>
  </si>
  <si>
    <t>无</t>
  </si>
  <si>
    <t xml:space="preserve">Remark:大货最新ZURU Logo版本/请用大货标准箱装箱4PCS/箱共15箱/箱唛请参照邮件附件                                                                                                                                                备注：收到样品订单后尽快安排 ，注意样板品质质量要求要高于大货品质要求 ，送货时必须要附带送货单(没有送货单和QC检验合格报告的仓库一律拒绝收货)，请知悉，谢谢！ </t>
  </si>
  <si>
    <t xml:space="preserve">Angus </t>
  </si>
  <si>
    <t>94902-4.30</t>
  </si>
  <si>
    <t>TJX UK</t>
  </si>
  <si>
    <t>英国</t>
  </si>
  <si>
    <t>TJX UK:
PO#50047489</t>
  </si>
  <si>
    <t>4500157680-50</t>
  </si>
  <si>
    <r>
      <rPr>
        <sz val="11"/>
        <rFont val="宋体"/>
        <charset val="134"/>
        <scheme val="minor"/>
      </rPr>
      <t xml:space="preserve">日期码格式：ZURU INC(BVI) 标准格式 日期：按实际生产日期
Packaging Info: TJX UK: PO#50047540(71101)---TJX UK: PO#50047545(71101)---TJX UK: PO#50047483(71101)---TJX UK: PO#50047488(71101)---TJX UK: PO#50047489(77425)
</t>
    </r>
    <r>
      <rPr>
        <sz val="11"/>
        <color rgb="FFFF0000"/>
        <rFont val="宋体"/>
        <charset val="134"/>
        <scheme val="minor"/>
      </rPr>
      <t>SLOB ITEM消耗库存：</t>
    </r>
    <r>
      <rPr>
        <sz val="11"/>
        <rFont val="宋体"/>
        <charset val="134"/>
        <scheme val="minor"/>
      </rPr>
      <t xml:space="preserve">
77425: MA1L (1L warning) 最新UPC包装
Remark: 1. 出往UK的产品+包装务必打上UKCA logo ，否则客人会退货且当地会有罚款；
2. 订单必须经过ZURU QC验货并且通过后方可出货；
3. 订单每行对应客人不同的PO， 箱唛也有不同，做货的时候请分开堆放；
4. 包装条码请按包装备注上的对应的警示语语种包装，出德国的订单(订单备注为TJX Europe-DE)需要确保有英语+德语+荷兰语+波兰语警示语；
5. 订单每行对应客人不同的PO，即同款item的价格贴纸都不相同，请注意收到贴纸后不要弄混!（客人PO号请参考PO最后一栏remark）；
6. 客供价格贴纸位置为产品正面右上角，不能遮住产品信息，大货生产前，请把贴纸位置先发给跟单确认
7. 涉及到相关款式会有闪粉的或者微塑料的，请统一默认出无闪粉或者不含微塑料版本;
8. 外箱封箱必须是工字型封箱方式；</t>
    </r>
  </si>
  <si>
    <t>Sandy Shao</t>
  </si>
  <si>
    <t>94634-3.25</t>
  </si>
  <si>
    <t>TJX UK c/o TJX Distribution Ltd &amp; C</t>
  </si>
  <si>
    <t>德国</t>
  </si>
  <si>
    <t>TJX
Europe-DE:
PO#55047520</t>
  </si>
  <si>
    <t>4500157675-60</t>
  </si>
  <si>
    <r>
      <rPr>
        <sz val="11"/>
        <rFont val="宋体"/>
        <charset val="134"/>
        <scheme val="minor"/>
      </rPr>
      <t xml:space="preserve">日期码格式：ZURU INC(BVI) 标准格式 日期：按实际生产日期
Packaging Info: TJX Europe-DE: PO#55047501(71101)---TJX Europe-DE: PO#55047502(71101)---TJX Europe-DE: PO#55047504(71101)---TJX Europe-DE: PO#55047514(71101)---
TJX Europe-DE: PO#55047516(71101)---TJX Europe-DE: PO#55047520(77425)
</t>
    </r>
    <r>
      <rPr>
        <sz val="11"/>
        <color rgb="FFFF0000"/>
        <rFont val="宋体"/>
        <charset val="134"/>
        <scheme val="minor"/>
      </rPr>
      <t>SLOB ITEM 消耗库存：</t>
    </r>
    <r>
      <rPr>
        <sz val="11"/>
        <rFont val="宋体"/>
        <charset val="134"/>
        <scheme val="minor"/>
      </rPr>
      <t xml:space="preserve">
77425: MA1L (1L warning) 最新UPC包装+1张贴纸（含德语&lt;(&gt;&amp;&lt;)&gt;荷兰语&lt;(&gt;&amp;&lt;)&gt;波兰语警告语）
Remark: 1. 出往UK的产品+包装务必打上UKCA logo ，否则客人会退货且当地会有罚款；
2. 订单必须经过ZURU QC验货并且通过后方可出货；
3. 订单每行对应客人不同的PO， 箱唛也有不同，做货的时候请分开堆放；
4. 包装条码请按包装备注上的对应的警示语语种包装，出德国的订单(订单备注为TJX Europe-DE)需要确保有英语+德语+荷兰语+波兰语警示语；
5. 订单每行对应客人不同的PO，即同款item的价格贴纸都不相同，请注意收到贴纸后不要弄混!（客人PO号请参考PO最后一栏remark）；
6. 客供价格贴纸位置为产品正面右上角，不能遮住产品信息，大货生产前，请把贴纸位置先发给跟单确认
7. 涉及到相关款式会有闪粉的或者微塑料的，请统一默认出无闪粉或者不含微塑料版本;
8. 外箱封箱必须是工字型封箱方式；</t>
    </r>
  </si>
  <si>
    <t>94645-3.26</t>
  </si>
  <si>
    <t>5K7XXSZF</t>
  </si>
  <si>
    <t>4500163057-50</t>
  </si>
  <si>
    <t>空白外箱加印ZURU Logo+MADE IN CHINA+SSCC LABEL(客供贴纸），无shipping mark,日期使用ZURU 标准版本。SSCC Label显示的是客人自己的item#，SSCC Lab</t>
  </si>
  <si>
    <r>
      <rPr>
        <sz val="11"/>
        <rFont val="宋体"/>
        <charset val="134"/>
        <scheme val="minor"/>
      </rPr>
      <t>日期码格式：ZURU INC(BVI) 标准格式 日期：按实际生产日期
5. 77425：</t>
    </r>
    <r>
      <rPr>
        <sz val="11"/>
        <color rgb="FFFF0000"/>
        <rFont val="宋体"/>
        <charset val="134"/>
        <scheme val="minor"/>
      </rPr>
      <t>MA 1L UPC包装</t>
    </r>
    <r>
      <rPr>
        <sz val="11"/>
        <rFont val="宋体"/>
        <charset val="134"/>
        <scheme val="minor"/>
      </rPr>
      <t>+MA 多语说明书+进口商贴纸+SSCC label
Remark: 1. Amazon FOB订单，出口Mexico，外箱最长边不能超过25" （超过了，case pack只能为1），不符合要求的大货，一律不接受。
2. 空白外箱加印ZURU Logo+MADE IN CHINA+SSCC LABEL(客供贴纸），无shipping mark,日期使用ZURU 标准版本。SSCC Label显示的是客人自己的item#，SSCC Lab
el 贴在外箱正面的正中间，贴一面即可，跟单订购，贴纸离外箱距必须至少3cm,每一张SSCC Label都是唯一且有不同流水及条码的，没有损耗，绝对不可贴错，否
则贴错或损坏一张会导致全部都错，千万要注意！
3. 日期码使用ZURU标准版
4. 9543D:2PCS AAA BATTERIES(NOT INCLUDED)
5. 77425: 3PCS AAA BATTERIES(NOT INCLUDED)</t>
    </r>
  </si>
  <si>
    <t>Ever Li</t>
  </si>
  <si>
    <t>95288-6.10</t>
  </si>
  <si>
    <t>34P65IJU</t>
  </si>
  <si>
    <t>4500163057-80</t>
  </si>
  <si>
    <t>ZURU LLC</t>
  </si>
  <si>
    <t>美国</t>
  </si>
  <si>
    <t>B0BS8LM6R6</t>
  </si>
  <si>
    <t>4500169495-120</t>
  </si>
  <si>
    <t>77425-S001-MTS</t>
  </si>
  <si>
    <t>日期码格式：ZURU INC(BVI) 标准格式 日期：按实际生产日期
Packaging Info:
#77425 MA 1L UPC版本
Remark: 1.Amazon domestic 订单。出口美国。外箱最长边不能超过25" （超过了，case pack只能为1），不符合要求的大货，一律不接受。
2.无第三方验货/测试要求。
3.日期码使用ZURU标准版本。
4.邮包盒要印刷日期码。</t>
  </si>
  <si>
    <t>Kelly Shen/Mia Pan/P</t>
  </si>
  <si>
    <t>ZB01104R1-8.6</t>
  </si>
  <si>
    <t>YOYO LLC</t>
  </si>
  <si>
    <t>吉尔吉斯斯坦</t>
  </si>
  <si>
    <t>4500161685-10</t>
  </si>
  <si>
    <t>日期码格式：ZURU INC(BVI) 标准格式 日期：按实际生产日期
Packaging Info: 1L MA UPC 包装+ 进口商贴纸 ， MA PDQ /说明书/指南（如有）
Remark: 标准配比</t>
  </si>
  <si>
    <t>Ann</t>
  </si>
  <si>
    <t>96119-8.22</t>
  </si>
  <si>
    <t>TJX UK
PO#50687573</t>
  </si>
  <si>
    <t>4500172515-60</t>
  </si>
  <si>
    <t>日期码格式：ZURU INC(BVI) 标准格式 日期：按实际生产日期
Packaging Info:
77425 MA1L (1L warning) 最新UPC包装+1张客供价格贴纸
Remark: 1. 出往UK的产品+包装务必打上UKCA logo ，否则客人会退货且当地会有罚款；
2. 订单必须经过ZURU QC验货并且通过后方可出货；
3. 订单每行对应客人不同的PO， 箱唛也有不同，做货的时候请分开堆放；
4. 包装条码请按包装备注上的对应的警示语语种包装，出德国的订单(订单备注为TJX Europe-DE)需要确保有英语+德语+荷兰语+波兰语警示语；
5. 订单每行对应客人不同的PO，即同款item的价格贴纸都不相同，请注意收到贴纸后不要弄混!（客人PO号请参考PO最后一栏remark）；
6. 客供价格贴纸位置为产品正面右上角，不能遮住产品信息，大货生产前，请把贴纸位置先发给跟单确认
7. 涉及到相关款式会有闪粉的或者微塑料的，请统一默认出无闪粉或者不含微塑料版本;
8. 外箱封箱必须是工字型封箱方式；</t>
  </si>
  <si>
    <t>96093-8.19</t>
  </si>
  <si>
    <t>接单汇总</t>
  </si>
  <si>
    <t>球数</t>
  </si>
  <si>
    <t>MA 1L A收缩膜</t>
  </si>
  <si>
    <t>MA 3L 收缩膜 无条码</t>
  </si>
  <si>
    <t>MA 3L 收缩膜</t>
  </si>
  <si>
    <t>MA 5L 收藏指南</t>
  </si>
  <si>
    <t>WM 客版收藏指南</t>
  </si>
  <si>
    <t>中文吊牌</t>
  </si>
  <si>
    <t>1L 13pcs
GQ1</t>
  </si>
  <si>
    <t>3L
13pcs
GQ1</t>
  </si>
  <si>
    <t>1L 25pcs
GQ2</t>
  </si>
  <si>
    <t>3L 25pcs
GQ2-S001</t>
  </si>
  <si>
    <t>1L 12PCS GQ3-S001</t>
  </si>
  <si>
    <t>1L B 12PCS GQ3-S001</t>
  </si>
  <si>
    <t>3L 12PCS GQ3-S001</t>
  </si>
  <si>
    <t>1L 16PCS GQ4-S001</t>
  </si>
  <si>
    <t>1L 13PCS GQ6-S001</t>
  </si>
  <si>
    <t>13PCS GQ6-S001 3L</t>
  </si>
  <si>
    <t xml:space="preserve">26PCS TARGET-客版SQ1 </t>
  </si>
  <si>
    <t xml:space="preserve">25PCS GQ7-S001 3L </t>
  </si>
  <si>
    <t>客版
SK-S001 不含底座</t>
  </si>
  <si>
    <t>客版 1L
SK-S001 不含底座</t>
  </si>
  <si>
    <t>3L SK-S002 含底座 60pcs</t>
  </si>
  <si>
    <t>3L 
SK1-S002 30pcs</t>
  </si>
  <si>
    <t>1L 
SK1-S001  30pcs</t>
  </si>
  <si>
    <t>1L 
SK1-S002 30pcs</t>
  </si>
  <si>
    <t>77806 圆筒</t>
  </si>
  <si>
    <t>77806 彩纸</t>
  </si>
  <si>
    <t>77806 贴纸</t>
  </si>
  <si>
    <t>合计数量</t>
  </si>
  <si>
    <t>累计数量</t>
  </si>
  <si>
    <t>MA 数量</t>
  </si>
  <si>
    <t>GQ2/GQ4</t>
  </si>
  <si>
    <t>SK1/SK</t>
  </si>
  <si>
    <t>ZPO2506009</t>
  </si>
  <si>
    <t>77770GQ2-S001</t>
  </si>
  <si>
    <t>迷你包包S4</t>
  </si>
  <si>
    <t>Remark:跟PP订单一起安排/大货标准箱装箱/箱唛请参照邮件附件;备注：收到样品订单后尽快安排 ，注意样板品质质量要求要高于大货品质要求 ，送货时必须要附带送货单(没有送货单和QC检验合格报告的仓库一律拒绝收货)，请知悉，谢谢！</t>
  </si>
  <si>
    <t>Lynn</t>
  </si>
  <si>
    <t>N/A</t>
  </si>
  <si>
    <t>ZMPO250496</t>
  </si>
  <si>
    <t>77770-S001</t>
  </si>
  <si>
    <t>迷你包包S4套散件</t>
  </si>
  <si>
    <t>Remark:跟PP订单一起安排/只需要齐全套三散件/麻烦用胶袋分装好一套为一袋/箱唛请参照邮件附件;备注：收到样品订单后尽快安排 ，注意样板品质质量要求要高于大货品质要求 ，送货时必须要附带送货单(没有送货单和QC检验合格报告的仓库一律拒绝收货)，请知悉，谢谢！</t>
  </si>
  <si>
    <t>77770GQ1-S001</t>
  </si>
  <si>
    <t>迷你包包S4个空PDQ</t>
  </si>
  <si>
    <t>Remark:跟PP订单一起安排/请配齐PDQ上原有的Demo+吸塑;备注：收到样品订单后尽快安排 ，注意样板品质质量要求要高于大货品质要求 ，送货时必须要附带送货单(没有送货单和QC检验合格报告的仓库一律拒绝收货)，请知悉，谢谢！</t>
  </si>
  <si>
    <t>KMART AUSTRALIA LTD</t>
  </si>
  <si>
    <t>澳大利亚</t>
  </si>
  <si>
    <t>4500173688-20</t>
  </si>
  <si>
    <t>77770GQ1-S002</t>
  </si>
  <si>
    <t>迷你包包S4 13pcs/箱</t>
  </si>
  <si>
    <t>日期码格式：ZURU INC(BVI) 标准格式 日期：按实际生产日期
Packaging Info: 
77770GQ1:MA英语UPC版本包装（收缩膜和说明书, MA首选1L，如无1L可用多语且含英语的配套多语包装) + 1张防盗贴纸+箱唛 + 外箱SSCC Label
Remark: 1.请务必按时完货，验货。并且按期送货入货代指定仓库，如果晚了导致船期Delay将会有罚金产生或者客户要求空运，所产生的罚金和空运费由工厂承担。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外箱贴纸请同纸箱瓦楞纸方向（竖纹向）垂直，即外箱贴纸横着贴(注意条码不要被胶带粘住），贴1pc，贴1面正唛，封箱胶纸不能挡住贴纸内容。外箱贴纸
离外箱边距离不少于2cm。
3.外箱材质为ZURU标准；
4.此单需使用KMART封箱胶上下工字型封箱;从2019年6月开始，要用KMART 新版封箱胶带，此单要用"ANKO"封箱胶带
5.此单出口澳大利亚，请按相应的澳新标准生产；
6.产品和包装上生产批号的显示格式ZURU标准日期码格式
7.外箱信息不可手写，重量和体积需要与实际的一致(不可手写）
8. 每款item装箱后的G.W.超过10KG或者CBM超过0.13,(9.5KG或者以上，四舍五入后也属于10KG) 需在外箱上加印超 重或者Bulky LOGO，若发现我们资料没有，请
帮忙提醒
1)重量超过10kg但不超过16kg且CBM不超过0.13,10-16kg 超重logo
2）CBM超过0.13且重量少于17kg，bulky logo
3）不属于以上两种情况，需要使用相应重量范围内的超重logo
4）超重logo需要在外箱四面都印刷(箱唛右上角，两面侧唛超重logo需要尽量靠近毛重)，尺寸为:110mm height* 95mm width
9. 实际外箱重量跟印在箱唛上的数据差异不能超3%，尺寸按实际数据印刷</t>
  </si>
  <si>
    <t>Lydia Wu</t>
  </si>
  <si>
    <t>A96798-10.31</t>
  </si>
  <si>
    <t>东莞生产</t>
  </si>
  <si>
    <t>KMART AUSTRALIA LTD(NEW ZEALAND)</t>
  </si>
  <si>
    <t>新西兰</t>
  </si>
  <si>
    <t>4500173689-20</t>
  </si>
  <si>
    <t>日期码格式：ZURU INC(BVI) 标准格式 日期：按实际生产日期
Packaging Info:
77770GQ1:MA英语UPC版本包装（收缩膜和说明书, MA首选1L，如无1L可用多语且含英语的配套多语包装) + 1张防盗贴纸+箱唛 + 外箱SSCC Label
(贴纸以及位置图翻单PO#4500173688）
Remark: 1.请务必按时完货，验货。并且按期送货入货代指定仓库，如果晚了导致船期Delay将会有罚金产生或者客户要求空运，所产生的罚金和空运费由工厂承担。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外箱贴纸请同纸箱瓦楞纸方向（竖纹向）垂直，即外箱贴纸横着贴(注意条码不要被胶带粘住），贴1pc，贴1面正唛，封箱胶纸不能挡住贴纸内容。外箱贴纸
离外箱边距离不少于2cm。
3.外箱材质为ZURU标准；
4.此单需使用KMART封箱胶上下工字型封箱;从2019年6月开始，要用KMART 新版封箱胶带，此单要用"ANKO"封箱胶带
5.此单出口新西兰，请按相应的澳新标准生产；
6.产品和包装上生产批号的显示格式ZURU标准日期码格式
7.外箱信息不可手写，重量和体积需要与实际的一致(不可手写）
8. 每款item装箱后的G.W.超过10KG或者CBM超过0.13,(9.5KG或者以上，四舍五入后也属于10KG) 需在外箱上加印超 重或者Bulky LOGO，若发现我们资料没有，请
帮忙提醒
1)重量超过10kg但不超过16kg且CBM不超过0.13,10-16kg 超重logo
2）CBM超过0.13且重量少于17kg，bulky logo
3）不属于以上两种情况，需要使用相应重量范围内的超重logo
4）超重logo需要在外箱四面都印刷(箱唛右上角，两面侧唛超重logo需要尽量靠近毛重)，尺寸为:110mm height* 95mm width
9. 实际外箱重量跟印在箱唛上的数据差异不能超3%，尺寸按实际数据印刷</t>
  </si>
  <si>
    <t>A96799-10.31</t>
  </si>
  <si>
    <t>TARGET US</t>
  </si>
  <si>
    <t>Draft PO-77770SQ1</t>
  </si>
  <si>
    <t>4500173932-10</t>
  </si>
  <si>
    <t>77770SQ1-S001</t>
  </si>
  <si>
    <t>迷你包包S4 26 pcs/PDQ/箱</t>
  </si>
  <si>
    <t>日期码格式：ZURU INC(BVI) 标准格式 日期：按实际生产日期
Packaging Info: 产品包装(UPC 版) MA 1L收缩膜 + MA 5L 收藏指南/说明书+客版 PDQ(PDQ中需放置一张折卡，印有Remove信息)+背身UPC贴纸；
Remark: 1. 77770SQ1-S001-MINI BRANDS-FASHION MINI BRANDS-SERIES 4-CAPSULE,26PCS/PDQ,26PCS/PDQ/CTN
2. 产品包装(UPC 版) MA 1L收缩膜 + MA 5L 收藏指南/说明书+客版 PDQ(PDQ中需放置一张折卡，印有Remove信息)+背身UPC贴纸；收缩膜上的UPC显示193052089465
；客版PDQ背面居中位置需要贴背身贴纸，背身贴纸内容显示客户的 DPCI: 086-02-6519，UPC：193052097507；
3. 外箱正唛左上角位置粘贴条码箱贴纸，每箱只贴一张，由ZURU订购。来料贴纸上显示的客户DPCI# 086-02-1748, UPC显示193052097514;
4. 外箱正唛信息右侧空白位置粘贴一张Event label贴纸，贴纸内容显示：Christmas Morning Magic Rear Seasonal Set Date: 11/30/2025 ；由工厂自己订购；
5. 产品和包装上印刷 tracking code信息，格式为ZURU常规格式;
6. 出货方式：货代自提</t>
  </si>
  <si>
    <t>Holly Zheng</t>
  </si>
  <si>
    <t>ZB02193(REV1)-9.27  ZB02253(REV1)-9.30</t>
  </si>
  <si>
    <t>4500175924-130</t>
  </si>
  <si>
    <t>日期码格式：ZURU INC(BVI) 标准格式 日期：按实际生产日期
Packaging Info: 
77770GQ1:MA英语UPC版本包装（收缩膜和说明书, MA首选1L，如无1L可用多语且含英语的配套多语包装) + 1张防盗贴纸+箱唛 + 外箱SSCC Label
(贴纸以及位置图翻单PO#4500173688）
Remark: 1.请务必按时完货，验货。并且按期送货入货代指定仓库，如果晚了导致船期Delay将会有罚金产生或者客户要求空运，所产生的罚金和空运费由工厂承担。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外箱贴纸请同纸箱瓦楞纸方向（竖纹向）垂直，即外箱贴纸横着贴(注意条码不要被胶带粘住），贴1pc，贴1面正唛，封箱胶纸不能挡住贴纸内容。外箱贴纸
离外箱边距离不少于2cm。
3.外箱材质为ZURU标准；
4.此单需使用KMART封箱胶上下工字型封箱;从2019年6月开始，要用KMART 新版封箱胶带，此单要用"ANKO"封箱胶带
5.此单出口澳大利亚，请按相应的澳新标准生产；
6.产品和包装上生产批号的显示格式ZURU标准日期码格式
7.外箱信息不可手写，重量和体积需要与实际的一致(不可手写）
8. 每款item装箱后的G.W.超过10KG或者CBM超过0.13,(9.5KG或者以上，四舍五入后也属于10KG) 需在外箱上加印超 重或者Bulky LOGO，若发现我们资料没有，请
帮忙提醒
1)重量超过10kg但不超过16kg且CBM不超过0.13,10-16kg 超重logo
2）CBM超过0.13且重量少于17kg，bulky logo
3）不属于以上两种情况，需要使用相应重量范围内的超重logo
4）超重logo需要在外箱四面都印刷(箱唛右上角，两面侧唛超重logo需要尽量靠近毛重)，尺寸为:110mm height* 95mm width
9. 实际外箱重量跟印在箱唛上的数据差异不能超3%，尺寸按实际数据印刷</t>
  </si>
  <si>
    <t>A96807-2-10.31</t>
  </si>
  <si>
    <t>4500175924-140</t>
  </si>
  <si>
    <t>A96807-2-10.31
A96808-2-10.31</t>
  </si>
  <si>
    <t>4500175925-130</t>
  </si>
  <si>
    <t>日期码格式：ZURU INC(BVI) 标准格式 日期：按实际生产日期
Packaging Info: 
77770GQ1:MA英语UPC版本包装（收缩膜和说明书, MA首选1L，如无1L可用多语且含英语的配套多语包装) + 1张防盗贴纸+箱唛 + 外箱SSCC Label
(贴纸以及位置图翻单PO#4500173688）
Remark: 1.请务必按时完货，验货。并且按期送货入货代指定仓库，如果晚了导致船期Delay将会有罚金产生或者客户要求空运，所产生的罚金和空运费由工厂承担。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外箱贴纸请同纸箱瓦楞纸方向（竖纹向）垂直，即外箱贴纸横着贴(注意条码不要被胶带粘住），贴1pc，贴1面正唛，封箱胶纸不能挡住贴纸内容。外箱贴纸
离外箱边距离不少于2cm。
3.外箱材质为ZURU标准；
4.此单需使用KMART封箱胶上下工字型封箱;从2019年6月开始，要用KMART 新版封箱胶带，此单要用"ANKO"封箱胶带
5.此单出口新西兰，请按相应的澳新标准生产；
6.产品和包装上生产批号的显示格式ZURU标准日期码格式
7.外箱信息不可手写，重量和体积需要与实际的一致(不可手写）
8. 每款item装箱后的G.W.超过10KG或者CBM超过0.13,(9.5KG或者以上，四舍五入后也属于10KG) 需在外箱上加印超 重或者Bulky LOGO，若发现我们资料没有，请
帮忙提醒
1)重量超过10kg但不超过16kg且CBM不超过0.13,10-16kg 超重logo
2）CBM超过0.13且重量少于17kg，bulky logo
3）不属于以上两种情况，需要使用相应重量范围内的超重logo
4）超重logo需要在外箱四面都印刷(箱唛右上角，两面侧唛超重logo需要尽量靠近毛重)，尺寸为:110mm height* 95mm width
9. 实际外箱重量跟印在箱唛上的数据差异不能超3%，尺寸按实际数据印刷</t>
  </si>
  <si>
    <t>96808-9.19</t>
  </si>
  <si>
    <t>TOYS "R" US – JAPAN, LTD</t>
  </si>
  <si>
    <t>日本</t>
  </si>
  <si>
    <t>47:0003158165</t>
  </si>
  <si>
    <t>4500176402-10</t>
  </si>
  <si>
    <t>日期码格式：ZURU INC(BVI) 标准格式 日期：按实际生产日期
Packaging Info: MA 1L UPC PKG+1张日语警语贴纸(贴纸不能遮挡日期码)
Remark: 1. 出日本
2. 77770GQ2请安排寄3 套样板到SGS 实验室安排测试，测试pass 后才能出货。大货样需严格跟到测试样。
3. 请多备1-2个外箱出货，避免外箱到仓库后出现破损情况。</t>
  </si>
  <si>
    <t>Doris Shou</t>
  </si>
  <si>
    <t>A96794-10.31</t>
  </si>
  <si>
    <t>ALL BRANDS TOYS PTY LTD</t>
  </si>
  <si>
    <t>4500175512-10</t>
  </si>
  <si>
    <t>77770GQ2-S002</t>
  </si>
  <si>
    <t>迷你包包S4 25pcs/箱</t>
  </si>
  <si>
    <t>日期码格式：ZURU INC(BVI) 标准格式 日期：按实际生产日期
Packaging Info: MA 1L PKG +1张客人通用进口商贴纸，贴于包装背面空白处， 请提供位置图确认。
Remark: 1.按实际生产日期;
2.出澳大利亚，请按照相应标准生产;</t>
  </si>
  <si>
    <t>A96793-10.31</t>
  </si>
  <si>
    <t>MEIJER DISTRIBUTION, INC.</t>
  </si>
  <si>
    <t>4500176410-10</t>
  </si>
  <si>
    <t>截SI
9/22</t>
  </si>
  <si>
    <t>日期码格式：ZURU INC(BVI) 标准格式 日期：
Packaging Info: 1. MA 1L 包装
2. 客人指定箱唛排版
Remark: 出货前 Zuru QC 验货</t>
  </si>
  <si>
    <t>Agnes Zheng</t>
  </si>
  <si>
    <t>ZB02464-10.16</t>
  </si>
  <si>
    <t>4500176411-10</t>
  </si>
  <si>
    <t>ZB02465-10.16</t>
  </si>
  <si>
    <t>WALMART INC.</t>
  </si>
  <si>
    <t>0938210290</t>
  </si>
  <si>
    <t>4500177086-10</t>
  </si>
  <si>
    <t>77770GQ4-S001</t>
  </si>
  <si>
    <t>迷你包包S4 16pcs/箱</t>
  </si>
  <si>
    <t>9/22预计安排抽板，2025/10/9第三方验货</t>
  </si>
  <si>
    <t>抽板订单的球上加贴布标贴纸</t>
  </si>
  <si>
    <t>日期码格式：ZURU DGYYYYMMDD CHINA(日期避开周末和法定节假日即可） 日期：按实际生产日期
Packaging Info: 77770GQ4-S001
1. 包装要求：
77770：MA 1L A版收缩膜+MA 5L A版收藏指南+MA A版纸袋+客版 1L A版PDQ
需加贴布标贴纸
每pcs产品要贴一张RFID贴纸，RFID贴纸由ZURU提供，贴纸位置要严格按照客人签板
Remark: 77770GQ4-S001
1. 包装要求：
77770：MA 1L A版收缩膜+MA 5L A版收藏指南+MA A版纸袋+客版 1L A版PDQ
需加贴布标贴纸
每pcs产品要贴一张RFID贴纸，RFID贴纸由ZURU提供，贴纸位置要严格按照客人签板
2. 外箱印刷带条码的RFID箱唛：RFID紫色色带+WM Dept.图标+RFID图标+ITF-14条码，四面右下角印刷ZURU logo, ITFF条码只印刷在正唛一面，在加印的时候确保
条形码能扫描出来，外箱侧面任一角落加印："MADE IN CHINA" 字样；
3. 在产品上和包装上要有日期码、以及要有MADE IN CHINA和ZURU字样；
4. 产品如有扎带口要剪平，不能刮手。
5. 此单需要抽板和验货，抽板时间预计9/22，请多备料
6. 此单以loose carton出货，16pcs/PDQ/CTN</t>
  </si>
  <si>
    <t>Maggie Xie</t>
  </si>
  <si>
    <t>ZB02491-10.17</t>
  </si>
  <si>
    <t>BRICKLAND LLC</t>
  </si>
  <si>
    <t>蒙古</t>
  </si>
  <si>
    <t>Zuru.2025Q3</t>
  </si>
  <si>
    <t>4500177281-80</t>
  </si>
  <si>
    <t>日期码格式：ZURU INC(BVI) 标准格式 日期：按实际生产日期
Packaging Info: MA UPC包装(优先1L)+1张进口商贴纸,贴纸资料及位置图翻单如下
其他items待提供
Remark:</t>
  </si>
  <si>
    <t>Emma Wu</t>
  </si>
  <si>
    <t>96896-2-11.8</t>
  </si>
  <si>
    <t>PT. STAKOM TRIJAYA ANDALA</t>
  </si>
  <si>
    <t>印度尼西亚</t>
  </si>
  <si>
    <t>SS26</t>
  </si>
  <si>
    <t>4500177396-10</t>
  </si>
  <si>
    <t>玩具订单一般都是第三方视频验货,实际不会有第三方的人到厂验货; 需按照客人要求提供2轮照片;
 第一轮是产品包装/纸箱/堆码等情况下的照片;
 第二轮是VO number打印出来,站在货物前的照片;待提供VO number,靠近货期才有;
 照片标准待提供,做完货请帮忙同步提供照片;</t>
  </si>
  <si>
    <t>日期码格式：ZURU INC(BVI) 标准格式 日期：按实际生产日期
Packaging Info: 1.MA UPC(优先1L,所有包装仅需英文语言即可;) package, 无需任何贴纸;
2.可能会有测试样品需求,待确认被抽中的款, 请多备料;
3.玩具订单一般都是第三方视频验货,实际不会有第三方的人到厂验货; 需按照客人要求提供2轮照片;
第一轮是产品包装/纸箱/堆码等情况下的照片;
第二轮是VO number打印出来,站在货物前的照片;待提供VO number,靠近货期才有;
照片标准待提供,做完货请帮忙同步提供照片;
Remark:</t>
  </si>
  <si>
    <t>A96792-10.31</t>
  </si>
  <si>
    <t>ZMPO250719</t>
  </si>
  <si>
    <t>Remark：大货最新版本/产品按大货比例入PDQ/大货标准箱装箱/箱唛参照邮件附件；备注：收到样品订单后尽快安排 ，注意样板品质质量要求要高于大货品质要求 ，送货时必须要附带送货单(没有送货单和QC检验合格报告的仓库一律拒绝收货)，请知悉，谢谢！</t>
  </si>
  <si>
    <t>96835-10.31</t>
  </si>
  <si>
    <t>ZURU NEW ZEALAND LIMITED</t>
  </si>
  <si>
    <t>77770GQ1-S
001-MTS</t>
  </si>
  <si>
    <t>外箱除常规箱唛外，需要贴一张黄色A4贴纸，印“test order".</t>
  </si>
  <si>
    <t>更换试销订单专用UPC贴纸</t>
  </si>
  <si>
    <t>Date code format：ZURU Standard format                  Date：Manufactory DateMA 1L UPC包装，每箱需要增加黄色A4贴纸，印“Test Order"字样，每个产品需要更换UPC贴纸，用试销专用的UPC条码</t>
  </si>
  <si>
    <t>SD92</t>
  </si>
  <si>
    <t>A96791-10.31</t>
  </si>
  <si>
    <t>ZURU GERMANY GMBH</t>
  </si>
  <si>
    <t>4500175551-20</t>
  </si>
  <si>
    <t>77770GQ1-S002-MTS</t>
  </si>
  <si>
    <t>迷你包包S4 13pcs/箱-MTS</t>
  </si>
  <si>
    <t>日期码格式：ZURU INC(BVI) 标准格式 日期：按实际生产日期
Packaging Info: 
2. 77770GQ1：MA 3L EAN收缩膜+1*多语折叠警语贴纸+MA 5L收藏指南+MA 纸袋+其他MA包装。
Remark: 1.德国内销单，需要通过ZURU 验货结果后才能出货 (工厂需要主动提前同ZURU QC预约验货避免延期出货造成不必要麻烦)；
2.产品如含有化学品（slime 等），需要无硼无香。需要无微塑料版本。
3.所有出口欧洲的产品, 法规规定禁止在包装和共公众用的印刷品中使用矿物油中含有的物质, 包装印刷油墨中含有的MOAH/MOSH的质量浓度不能超过1%, 否则出货
到法国被抽检出现问题, 供应商需要对此负责;
4. date code: 外箱日期码要晚于或等于产品日期码，不能早于产品的日期码；
5. 所有电子产品身上需要加字唛，为ZURU FRANCE 地址 (如无电子产品，或者产品布标有此地址，可忽略此信息)
如产品太小，也可忽略。如无法加字唛，可以用贴纸的形式加在产品身上。
ZURU France 1/3, Rue d'Argenteuil 95210 SAINT-GRATIEN, FRANCE
6.所有出往德国订单的电子产品需增加一张欧洲通用WEEE声明说明书，区分带电池和不带电池版本, 如已做客版说明书可忽略此要求。
7.装柜时需要按照款式号码从小到大一款款依次装,避免终端仓库卸货混乱.若一个柜子涉及到几个不同国家内销单,装柜时需要一个国家装完后再装另一个国家的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
8.ratio 同MA
9. 若有特定款有特殊外箱条码要求时,需要明确列出产品款对应的具体外箱条码号码/条码类型 (若无,可以忽略此需求).</t>
  </si>
  <si>
    <t>Bella Wang</t>
  </si>
  <si>
    <t>A96790-10.31</t>
  </si>
  <si>
    <t>WONDERLAND TOYS, INC.</t>
  </si>
  <si>
    <t>4500177726-40</t>
  </si>
  <si>
    <t>日期码格式：ZURU INC(BVI) 标准格式 日期：按实际生产日期
Packaging Info: 1. 出口美国，MA UPC 版本包装，优先1L。
Remark: 2. Zuru QC 验货即可。</t>
  </si>
  <si>
    <t>Abby Mai,Lluvia Zeng</t>
  </si>
  <si>
    <t>ZB02466-10.16</t>
  </si>
  <si>
    <t>10001444618-3891</t>
  </si>
  <si>
    <t>4500177334-10</t>
  </si>
  <si>
    <t>日期码格式：ZURU INC(BVI) 标准格式 日期：按实际生产日期
Packaging Info: 77770GQ2: 产品包装(UPC 版) MA 1L收缩膜 +MA 1L PDQ；
Remark: 77770GQ2:
1. 77770GQ2-S002-MINI BRANDS-FASHION MINI BRANDS-SERIES 4-CAPSULE,WITH DEMO,25PCS/Gravity PDQ,25PCS/PDQ/CTN
2. 产品包装(UPC 版) MA 1L收缩膜+MA 1L PDQ；收缩膜上的UPC显示193052089465；
3. 外箱正唛左上角位置粘贴条码箱贴纸，每箱只贴一张，由ZURU订购。来料贴纸上显示的客户DPCI# 086-02-9624, UPC显示10193052089462;
4. 外箱正唛信息右侧空白位置粘贴一张Event label贴纸，贴纸内容显示：Toys Set Date：1/11/2026；由工厂自己订购；
5. 产品和包装上印刷 tracking code信息，格式为ZURU常规格式;
6. 出货方式：货代自提</t>
  </si>
  <si>
    <t>ZB02960-11.19</t>
  </si>
  <si>
    <t>0938210281</t>
  </si>
  <si>
    <t>4500177643-10</t>
  </si>
  <si>
    <t>外箱印刷带条码的RFID箱唛：RFID紫色色带+WM Dept.图标+RFID图标+ITF-14条码，四面右下角印刷ZURU logo, ITFF条码只印刷在正唛一面，在加印的时候确保
条形码能扫描出来，外箱侧面任一角落加印："MADE IN CHINA" 字样；</t>
  </si>
  <si>
    <t>日期码格式：ZURU DGYYYYMMDD CHINA(日期避开周末和法定节假日即可） 日期：按实际生产日期
Packaging Info: 77770
1. 包装要求：
77770：MA 1L A版收缩膜+MA 5L A版收藏指南+MA A版纸袋+客版 1L A版PDQ，翻单：4500177086
每pcs产品要贴一张RFID贴纸，RFID贴纸由ZURU提供，贴纸位置要严格按照客人签板
Remark: 77770
1. 包装要求：
77770：MA 1L A版收缩膜+MA 5L A版收藏指南+MA A版纸袋+客版 1L A版PDQ，翻单：4500177086
每pcs产品要贴一张RFID贴纸，RFID贴纸由ZURU提供，贴纸位置要严格按照客人签板
2. 外箱印刷带条码的RFID箱唛：RFID紫色色带+WM Dept.图标+RFID图标+ITF-14条码，四面右下角印刷ZURU logo, ITFF条码只印刷在正唛一面，在加印的时候确保
条形码能扫描出来，外箱侧面任一角落加印："MADE IN CHINA" 字样；
3. 在产品上和包装上要有日期码、以及要有MADE IN CHINA和ZURU字样；
4. 产品如有扎带口要剪平，不能刮手。
5. 此单需要验货，请多备料
6. 此单以loose carton出货，16pcs/PDQ/CTN</t>
  </si>
  <si>
    <t>ZB02551-10.22</t>
  </si>
  <si>
    <t>0938210340</t>
  </si>
  <si>
    <t>4500177643-20</t>
  </si>
  <si>
    <t>ZB02602-10.24</t>
  </si>
  <si>
    <t>0938210382</t>
  </si>
  <si>
    <t>4500177643-30</t>
  </si>
  <si>
    <t>ZB02603-10.24</t>
  </si>
  <si>
    <t>0936942375</t>
  </si>
  <si>
    <t>4500177088-10</t>
  </si>
  <si>
    <t>日期码格式：ZURU DGYYYYMMDD CHINA(日期避开周末和法定节假日即可） 日期：按实际生产日期
Packaging Info: 77770GQ4-S001
1. 包装要求：
77770：MA 1L A版收缩膜+MA 5L A版收藏指南+MA A版纸袋+客版 1L A版PDQ
每pcs产品要贴一张RFID贴纸，RFID贴纸由ZURU提供，贴纸位置要严格按照客人签板
Remark: 77770GQ4-S001
1. 包装要求：
77770：MA 1L A版收缩膜+MA 5L A版收藏指南+MA A版纸袋+客版 1L A版PDQ
每pcs产品要贴一张RFID贴纸，RFID贴纸由ZURU提供，贴纸位置要严格按照客人签板
2. 外箱印刷带条码的RFID箱唛：RFID紫色色带+WM Dept.图标+RFID图标+ITF-14条码+粉色艾利贴纸（不干胶打印），四面右下角印刷ZURU logo, ITFF条码只印刷在
正唛一面，在加印的时候确保条形码能扫描出来，1张粉红色贴纸贴在正唛对角线，外箱侧面任一角落加印："MADE IN CHINA" 字样；
3. 在产品上和包装上要有日期码、以及要有MADE IN CHINA和ZURU字样；
4. 产品如有扎带口要剪平，不能刮手。
5. 此单需要验货，请多备料
6. 此单以loose carton出货，16pcs/PDQ/CTN</t>
  </si>
  <si>
    <t>ZB02693-10.29</t>
  </si>
  <si>
    <t>4500177240-40</t>
  </si>
  <si>
    <t>外箱SSCC Label
 (贴纸以及位置图翻单PO#4500173688）</t>
  </si>
  <si>
    <t>96626-10.10</t>
  </si>
  <si>
    <t>4500177236-40</t>
  </si>
  <si>
    <t>96625-10.10</t>
  </si>
  <si>
    <t>4500177974-80</t>
  </si>
  <si>
    <t>96681-2-10.17</t>
  </si>
  <si>
    <t>21105437</t>
  </si>
  <si>
    <t>4500177972-80</t>
  </si>
  <si>
    <t>96680-2-10.17</t>
  </si>
  <si>
    <t>0936942331</t>
  </si>
  <si>
    <t>4500177091-10</t>
  </si>
  <si>
    <t>ZB02807-11.4</t>
  </si>
  <si>
    <t>0936942359</t>
  </si>
  <si>
    <t>4500177091-20</t>
  </si>
  <si>
    <t>ZB02806-11.4</t>
  </si>
  <si>
    <t>0938210337</t>
  </si>
  <si>
    <t>4500177644-10</t>
  </si>
  <si>
    <t>ZB02963-11.19</t>
  </si>
  <si>
    <t>4500178243-10</t>
  </si>
  <si>
    <t>10/18送库有拼柜</t>
  </si>
  <si>
    <t>1张客人通用进口商贴纸(翻单4500175512）</t>
  </si>
  <si>
    <t>日期码格式：ZURU INC(BVI) 标准格式 日期：按实际生产日期
Packaging Info: 77770GQ2: MA 1L PKG +1张客人通用进口商贴纸(翻单4500175512）
Remark: 1.按实际生产日期;
2.出澳大利亚，请按照相应标准生产;</t>
  </si>
  <si>
    <t>96676-10.17</t>
  </si>
  <si>
    <t>10001444616-3890</t>
  </si>
  <si>
    <t>4500177333-10</t>
  </si>
  <si>
    <t>10/20客上柜</t>
  </si>
  <si>
    <t>ZB02961-11.19</t>
  </si>
  <si>
    <t>10001493622-3891</t>
  </si>
  <si>
    <t>4500177938-20</t>
  </si>
  <si>
    <t>10/22预提货</t>
  </si>
  <si>
    <t>日期码格式：ZURU INC(BVI) 标准格式 日期：按实际生产日期
Packaging Info: 
77770GQ2 产品包装(UPC 版) MA 1L收缩膜+MA 1L PDQ；
Remark: 
77770GQ2
1. 77770GQ2-S002-MINI BRANDS-FASHION MINI BRANDS-SERIES 4-CAPSULE,WITH DEMO,25PCS/Gravity PDQ,25PCS/PDQ/CTN
2. 产品包装(UPC 版) MA 1L收缩膜+MA 1L PDQ；收缩膜上的UPC显示193052089465；
3. 外箱正唛左上角位置粘贴条码箱贴纸，每箱只贴一张，由ZURU订购。来料贴纸上显示的客户DPCI# 086-02-9624, UPC显示10193052089462;
以上所以item均：
1. 产品和包装上均要印刷tracking code信息，格式为ZURU常规格式;
2. 出货方式：货代自提</t>
  </si>
  <si>
    <t>ZB02562-10.23
zb02957-11.19</t>
  </si>
  <si>
    <t>4500178926-40</t>
  </si>
  <si>
    <t>10/22-24交仓</t>
  </si>
  <si>
    <t>96678-10.17</t>
  </si>
  <si>
    <t>欠11号鞋子</t>
  </si>
  <si>
    <t>10001502358-3891</t>
  </si>
  <si>
    <t>4500178501-20</t>
  </si>
  <si>
    <t>10/21客上柜</t>
  </si>
  <si>
    <t>粘贴条码箱贴纸，每箱只贴一张，由ZURU订购</t>
  </si>
  <si>
    <t>日期码格式：ZURU INC(BVI) 标准格式 日期：按实际生产日期
Packaging Info: 
77770GQ2: 产品包装(UPC 版) MA 1L收缩膜 +MA 1L PDQ；
Remark: 
77770GQ2:
1. 77770GQ2-S002-MINI BRANDS-FASHION MINI BRANDS-SERIES 4-CAPSULE,WITH DEMO,25PCS/Gravity PDQ,25PCS/PDQ/CTN
2. 产品包装(UPC 版) MA 1L收缩膜+MA 1L PDQ；收缩膜上的UPC显示193052089465；
3. 外箱正唛左上角位置粘贴条码箱贴纸，每箱只贴一张，由ZURU订购。来料贴纸上显示的客户DPCI# 086-02-9624, UPC显示10193052089462;
4. 产品和包装上印刷 tracking code信息，格式为ZURU常规格式;
5. 出货方式：货代自提</t>
  </si>
  <si>
    <t>ZB02537-10.21</t>
  </si>
  <si>
    <t>4500178925-40</t>
  </si>
  <si>
    <t>96677-10.17</t>
  </si>
  <si>
    <t>0936942305</t>
  </si>
  <si>
    <t>4500177093-10</t>
  </si>
  <si>
    <t>BV验货转自检10/24</t>
  </si>
  <si>
    <t>ZB02601-10.24</t>
  </si>
  <si>
    <t>0936942326</t>
  </si>
  <si>
    <t>4500177093-20</t>
  </si>
  <si>
    <t>ZB02771-11.3</t>
  </si>
  <si>
    <t>0938210279</t>
  </si>
  <si>
    <t>4500178134-10</t>
  </si>
  <si>
    <t>验货10/24转自检</t>
  </si>
  <si>
    <t>ZB02977-11.19</t>
  </si>
  <si>
    <t>0938210352</t>
  </si>
  <si>
    <t>4500178134-20</t>
  </si>
  <si>
    <t>ZB02980-11.19</t>
  </si>
  <si>
    <t>ASIA GOAL LIMITED TAIWAN BRANCH (H.</t>
  </si>
  <si>
    <t>台湾</t>
  </si>
  <si>
    <t>AG250201-TW</t>
  </si>
  <si>
    <t>4500178971-10</t>
  </si>
  <si>
    <t>日期码格式：ZURU INC(BVI) 标准格式 日期：按实际生产日期
Packaging Info: 此单出TW
77770GQ1 ： MA PKG 优先1L +1张警语贴纸
Remark:</t>
  </si>
  <si>
    <t>Chelsea Luo</t>
  </si>
  <si>
    <t>96738-10.27</t>
  </si>
  <si>
    <t>21105442</t>
  </si>
  <si>
    <t>4500179341-90</t>
  </si>
  <si>
    <t>10月29日-10月31日交仓</t>
  </si>
  <si>
    <t>1张防盗贴纸+箱唛 + 外箱SSCC Label
 (贴纸以及位置图翻单PO#4500173688）</t>
  </si>
  <si>
    <t>A96772-2-10.30</t>
  </si>
  <si>
    <t>4500179340-90</t>
  </si>
  <si>
    <t xml:space="preserve">10 月 29 日   入裕泰仓 </t>
  </si>
  <si>
    <t>A96773-2-10.30</t>
  </si>
  <si>
    <t>0936942198</t>
  </si>
  <si>
    <t>4500177094-10</t>
  </si>
  <si>
    <t>转自检10/30</t>
  </si>
  <si>
    <t>ZB02913-11.14</t>
  </si>
  <si>
    <t>0936942303</t>
  </si>
  <si>
    <t>4500177094-20</t>
  </si>
  <si>
    <t>ZB02808-11.4</t>
  </si>
  <si>
    <t>0938210349</t>
  </si>
  <si>
    <t>4500178135-10</t>
  </si>
  <si>
    <t>BV验货转自检10/30</t>
  </si>
  <si>
    <t>ZB02878-11.11</t>
  </si>
  <si>
    <t>BINGO GLOBAL GROUP FOR TRADING SUPP</t>
  </si>
  <si>
    <t>埃及</t>
  </si>
  <si>
    <t>4500178799-40</t>
  </si>
  <si>
    <t>进口商贴纸</t>
  </si>
  <si>
    <t xml:space="preserve">日期码格式：ZURU INC(BVI) 标准格式 日期：按实际生产日期
Packaging Info: 
77770GQ2: 包装MA EAN收缩膜+进口商贴纸，MA PDQ，收缩膜EAN条码显示4894680050518，产品年龄3+；
客人箱唛排版，印4面，条码内容4894680050518;
Remark: </t>
  </si>
  <si>
    <t>Nora Pan</t>
  </si>
  <si>
    <t>77770GQ2-S001-3L</t>
  </si>
  <si>
    <t>10001493620-3890</t>
  </si>
  <si>
    <t>4500177942-20</t>
  </si>
  <si>
    <t>2025/11/3提货</t>
  </si>
  <si>
    <t>日期码格式：ZURU INC(BVI) 标准格式 日期：按实际生产日期
Packaging Info: ；
77770GQ2 产品包装(UPC 版) MA 1L收缩膜+MA 1L PDQ；
Remark: 
77770GQ2
1. 77770GQ2-S002-MINI BRANDS-FASHION MINI BRANDS-SERIES 4-CAPSULE,WITH DEMO,25PCS/Gravity PDQ,25PCS/PDQ/CTN
2. 产品包装(UPC 版) MA 1L收缩膜+MA 1L PDQ；收缩膜上的UPC显示193052089465；
3. 外箱正唛左上角位置粘贴条码箱贴纸，每箱只贴一张，由ZURU订购。来料贴纸上显示的客户DPCI# 086-02-9624, UPC显示10193052089462;
以上所以item均：
1. 产品和包装上均要印刷tracking code信息，格式为ZURU常规格式;
2. 出货方式：货代自提</t>
  </si>
  <si>
    <t>ZB02956-11.19</t>
  </si>
  <si>
    <t>10001493848-3891</t>
  </si>
  <si>
    <t>4500179008-20</t>
  </si>
  <si>
    <t>2025/11/6提货</t>
  </si>
  <si>
    <t>粘贴条码箱贴纸</t>
  </si>
  <si>
    <t>日期码格式：ZURU INC(BVI) 标准格式 日期：按实际生产日期
Packaging Info: 
77770GQ2 产品包装(UPC 版) MA 1L收缩膜+MA 1L PDQ；
Remark:
77770GQ2
1. 77770GQ2-S002-MINI BRANDS-FASHION MINI BRANDS-SERIES 4-CAPSULE,WITH DEMO,25PCS/Gravity PDQ,25PCS/PDQ/CTN
2. 产品包装(UPC 版) MA 1L收缩膜+MA 1L PDQ；收缩膜上的UPC显示193052089465；
3. 外箱正唛左上角位置粘贴条码箱贴纸，每箱只贴一张，由ZURU订购。来料贴纸上显示的客户DPCI# 086-02-9624, UPC显示10193052089462;
以上所有item均：
1. 产品和包装上均要印刷tracking code信息，格式为ZURU常规格式;
2. 出货方式：货代自提</t>
  </si>
  <si>
    <t>ZB02958-11.19</t>
  </si>
  <si>
    <t>4500179977-20</t>
  </si>
  <si>
    <t>11/5-11/7交仓</t>
  </si>
  <si>
    <t>96880-11.6</t>
  </si>
  <si>
    <t>4500179979-20</t>
  </si>
  <si>
    <t>96881-11.6</t>
  </si>
  <si>
    <t>AMAZON.COM SERVICES LLC</t>
  </si>
  <si>
    <t>7KBRJIJB</t>
  </si>
  <si>
    <t>4500179751-10</t>
  </si>
  <si>
    <t>77806-S001</t>
  </si>
  <si>
    <t>迷你包包S4 2PK 圆筒装</t>
  </si>
  <si>
    <t>原domestic PO4500177327转FOB单</t>
  </si>
  <si>
    <t>10/31-11/1</t>
  </si>
  <si>
    <t>外箱正面印ZURU Logo+SSCC Label(客供贴纸，由跟单订购</t>
  </si>
  <si>
    <t>日期码格式：ZURU INC(BVI) 标准格式 日期：按实际生产日期
Packaging Info: #77806: 2PK STD #77770入PVC筒,客版3L无UPC版收缩膜，客版3L铜版纸（跟单提供）。收藏指南和说明书为MA版本。（两个球的配比不能重复）。
（原domestic PO4500177327转FOB单）
Remark: 1. Amazon MDDP订单，出口US。
2. 日期码使用ZURU标准版本。
3. 如果大货有要求入邮包盒，则对应的邮包盒上面要打上日期码。
4. 箱尺寸要求：外箱最长边不能超过25"(超过了，case pack只能为1)，不符合要求的大货，一律不接受。
5. 外箱箱唛要求：
①外箱正面印ZURU Logo+SSCC Label(客供贴纸，由跟单订购)。关于 SSCC Label 请注意：
SSCC Label显示的是客人自己的item#。每一张SSCC label都是唯一且有不同流水及条码的，没有损耗，绝对不可贴错。如果贴错或损坏任何一张，都会导致全部都
错，千万要注意！SSCC Label必须贴在外箱正面的正中间位置(贴一面即可)，并且贴纸离外箱边距必须至少3cm(可以覆盖Logo&lt;(&gt;&amp;&lt;)&gt;箱唛)，否则会影响到客户那边
仓库的扫描识别。
②外箱侧面印item#(订单上显示的SKU#)+carton size(以工厂实际尺寸为准，单位: inch)+MADE IN CHINA，日期使用ZURU 标准版本。
6. 装柜要求：按照客户PO#装柜/箱号顺序装柜，跟单会提前给到装柜计划。
在大货生产/仓库存放时，请留意该装柜要求，以便装柜时不混乱(避免装错/装漏/找不到货号等)。</t>
  </si>
  <si>
    <t>ZB02994-11.19</t>
  </si>
  <si>
    <t>10001502356-3890</t>
  </si>
  <si>
    <t>4500178842-20</t>
  </si>
  <si>
    <t>11/5截SI</t>
  </si>
  <si>
    <t>日期码格式：ZURU INC(BVI) 标准格式 日期：按实际生产日期
Packaging Info:
77770GQ2: 产品包装(UPC 版) MA 1L收缩膜 +MA 1L PDQ；
Remark: 
77770GQ2:
1. 77770GQ2-S002-MINI BRANDS-FASHION MINI BRANDS-SERIES 4-CAPSULE,WITH DEMO,25PCS/Gravity PDQ,25PCS/PDQ/CTN
2. 产品包装(UPC 版) MA 1L收缩膜+MA 1L PDQ；收缩膜上的UPC显示193052089465；
3. 外箱正唛左上角位置粘贴条码箱贴纸，每箱只贴一张，由ZURU订购。来料贴纸上显示的客户DPCI# 086-02-9624, UPC显示10193052089462;
4. 产品和包装上印刷 tracking code信息，格式为ZURU常规格式;
5. 出货方式：货代自提</t>
  </si>
  <si>
    <t>ZB02809-11.4
ZB02857-11.8</t>
  </si>
  <si>
    <t>THE KROGER CO.</t>
  </si>
  <si>
    <t>PO#500-50688</t>
  </si>
  <si>
    <t>4500180563-10</t>
  </si>
  <si>
    <t>77770SK1-S002</t>
  </si>
  <si>
    <t>迷你包包4代
展示架/带底座</t>
  </si>
  <si>
    <t>不可延期（促销单）</t>
  </si>
  <si>
    <t>2025/11/7交仓</t>
  </si>
  <si>
    <t>日期码格式：ZURU INC(BVI) 标准格式 日期：按实际生产日期
Packaging Info: 1、包装方式：MA UPC优先1L最新版+展示架（展示架带底座且带挂钩，挂钩数量同标版无底座版本），出口美国
Remark: 2、无第三方测试&lt;(&gt;&amp;&lt;)&gt;验货要求
3、纸箱4面印ZURU LOGO + 箱唛
4、日期码请按ZURU标准版执行即可
5、ZURU OQC验货</t>
  </si>
  <si>
    <t>Vicky Wu</t>
  </si>
  <si>
    <t>ZB03620-11.6</t>
  </si>
  <si>
    <t>77770SK1-S002-带底座</t>
  </si>
  <si>
    <t>PO#600-76024</t>
  </si>
  <si>
    <t>4500180563-20</t>
  </si>
  <si>
    <t>11/5-11/6交仓</t>
  </si>
  <si>
    <t>ZB03621-11.6</t>
  </si>
  <si>
    <t>PO#800-35707</t>
  </si>
  <si>
    <t>4500180563-30</t>
  </si>
  <si>
    <t>ZB03622-11.7</t>
  </si>
  <si>
    <t>PO#994-98863</t>
  </si>
  <si>
    <t>4500180563-50</t>
  </si>
  <si>
    <t>11/7-11/10</t>
  </si>
  <si>
    <t>ZB03623-11.10</t>
  </si>
  <si>
    <t>ASIA GOAL LIMITED</t>
  </si>
  <si>
    <t>香港</t>
  </si>
  <si>
    <t>AG250200-HK</t>
  </si>
  <si>
    <t>4500178966-10</t>
  </si>
  <si>
    <t>11/7入仓</t>
  </si>
  <si>
    <t>日期码格式：ZURU INC(BVI) 标准格式 日期：按实际生产日期
Packaging Info: 此单出HK
MA PKG 优先1L +客供警语贴纸（1张贴球底部，1张贴收藏指南）
Remark:</t>
  </si>
  <si>
    <t>96879R1-11.6</t>
  </si>
  <si>
    <t>0938210302</t>
  </si>
  <si>
    <t>4500180990-10</t>
  </si>
  <si>
    <t>2025/11/7转自检</t>
  </si>
  <si>
    <t>11月8日入盐田2号仓</t>
  </si>
  <si>
    <t>FRID贴纸</t>
  </si>
  <si>
    <t>日期码格式：ZURU DGYYYYMMDD CHINA(日期避开周末和法定节假日即可） 日期：按实际生产日期
Packaging Info: 77770GQ4-S001
1. 包装要求：
77770：MA 1L A版收缩膜+MA 5L A版收藏指南+MA A版纸袋+客版 1L A版PDQ，翻单：4500177086
每pcs产品要贴一张RFID贴纸，RFID贴纸由ZURU提供，贴纸位置要严格按照客人签板
Remark: 77770GQ4-S001
1. 包装要求：
77770：MA 1L A版收缩膜+MA 5L A版收藏指南+MA A版纸袋+客版 1L A版PDQ，翻单：4500177086
每pcs产品要贴一张RFID贴纸，RFID贴纸由ZURU提供，贴纸位置要严格按照客人签板
2. 外箱印刷带条码的RFID箱唛：RFID紫色色带+WM Dept.图标+RFID图标+ITF-14条码，四面右下角印刷ZURU logo, ITFF条码只印刷在正唛一面，在加印的时候确保
条形码能扫描出来，外箱侧面任一角落加印："MADE IN CHINA" 字样；
3. 在产品上和包装上要有日期码、以及要有MADE IN CHINA和ZURU字样；
4. 产品如有扎带口要剪平，不能刮手。
5. 此单需要验货，请多备料
6. 此单以loose carton出货，16pcs/PDQ/CTN</t>
  </si>
  <si>
    <t>ZB02868-11.10</t>
  </si>
  <si>
    <t>0938210339</t>
  </si>
  <si>
    <t>4500180990-20</t>
  </si>
  <si>
    <t>2025/11/10转自检</t>
  </si>
  <si>
    <t>ZB02950-11.18</t>
  </si>
  <si>
    <t>0938210341</t>
  </si>
  <si>
    <t>4500180990-30</t>
  </si>
  <si>
    <t>ZB02951-11.18</t>
  </si>
  <si>
    <t>ARGOS LIMITED</t>
  </si>
  <si>
    <t>PO#134320</t>
  </si>
  <si>
    <t>4500181196-10</t>
  </si>
  <si>
    <t>不可延期（试销单）</t>
  </si>
  <si>
    <t>11/9送搏锐拼柜，深圳报关</t>
  </si>
  <si>
    <t>客人白色cat label 覆盖ZURU条码，贴纸要求可扫，扫描结果为7798724</t>
  </si>
  <si>
    <t>日期码格式：ZURU INC(BVI) 标准格式 日期：按实际生产日期
Packaging Info: 1. 1L MA UPC包装+客人白色cat label 覆盖ZURU条码，贴纸要求可扫，扫描结果为7798724
2.注意Cat.label （要求易撕类贴纸，但是粘性不能过低），同时此贴纸每个订单都是不相同的（会显示客户对应的订单号），切勿翻旧订单购买。此贴纸由ZURU提
供贴纸图稿和贴纸位置图给工厂后，工厂自行购买。
3.请先检查条码是否正确再安排做，标签上的目录编号7798724数字高度必须至少为5mm （14.17pt）
-订单对应客户PO号备注有显示。
Remark: *MA包装按最新版本安排(MA包装上含英文信息)。
*包装日期码按ZURU格式即可，请确保不迟于外箱日期码，可等于或者早于外箱日期码，必须为法定工作日。
*外箱尺寸任何一条边长度超过75cm或者每箱重量超过10KG，需要在外箱上加三脚架符号，有问题请与ZURU跟单同事核实。
*订单必须经过ZURU QC验货并且通过后方可出货。
*订单出英国，请注意检查产品及包装应带UKCA图标，包装显示ZURU UK LTD信息，QC同事请查核，如有问题与跟单确认。
*条码扫描会显示客户7位数产品号而不是客户的订单号码。
*标签上的目录编号数字高度必须至少为5mm （14.17pt）。
*所有产品按符合欧洲标准走货，需要是不含微塑料版本 。
*若任何产品涉及到硼的，请使用低硼版本(没有则忽略此要求)
*客户不接受PVC材质包装。
*外箱不得使用带金属夹子或带扣。</t>
  </si>
  <si>
    <t>Lena Huang</t>
  </si>
  <si>
    <t>96892-11.8</t>
  </si>
  <si>
    <t xml:space="preserve"> ZMPO250719</t>
  </si>
  <si>
    <t>迷你包包S4散件</t>
  </si>
  <si>
    <t>Remark：大货最新版本/只需要齐全套三散件/麻烦用胶袋分装好一套为一袋/箱唛请参照邮件附件；备注：收到样品订单后尽快安排 ，注意样板品质质量要求要高于大货品质要求 ，送货时必须要附带送货单(没有送货单和QC检验合格报告的仓库一律拒绝收货)，请知悉，谢谢！</t>
  </si>
  <si>
    <t>*</t>
  </si>
  <si>
    <t>10001493846-3890</t>
  </si>
  <si>
    <t>4500180027-20</t>
  </si>
  <si>
    <t>不可延期（推广单）</t>
  </si>
  <si>
    <t>日期码格式：ZURU INC(BVI) 标准格式 日期：按实际生产日期
Packaging Info:
77770GQ2 产品包装(UPC 版) MA 1L收缩膜+MA 1L PDQ；
Remark: 
77770GQ2
1. 77770GQ2-S002-MINI BRANDS-FASHION MINI BRANDS-SERIES 4-CAPSULE,WITH DEMO,25PCS/Gravity PDQ,25PCS/PDQ/CTN
2. 产品包装(UPC 版) MA 1L收缩膜+MA 1L PDQ；收缩膜上的UPC显示193052089465；
3. 外箱正唛左上角位置粘贴条码箱贴纸，每箱只贴一张，由ZURU订购。来料贴纸上显示的客户DPCI# 086-02-9624, UPC显示10193052089462;
以上所有item均：
1. 产品和包装上均要印刷tracking code信息，格式为ZURU常规格式;
2. 出货方式：货代自提</t>
  </si>
  <si>
    <t>ZB02959-11.19</t>
  </si>
  <si>
    <t>218139740 DC
086</t>
  </si>
  <si>
    <t>4500179587-90</t>
  </si>
  <si>
    <t>ZB03126-11.27</t>
  </si>
  <si>
    <t>218139742 DC
802</t>
  </si>
  <si>
    <t>4500179587-100</t>
  </si>
  <si>
    <t>4500180534-10</t>
  </si>
  <si>
    <t>11/12入仓</t>
  </si>
  <si>
    <t>日期码格式：ZURU INC(BVI) 标准格式 日期：按实际生产日期
Packaging Info: 77770GQ1:MA英语UPC版本包装（收缩膜和说明书, MA首选1L，如无1L可用多语且含英语的配套多语包装) + 1张防盗贴纸+箱唛 + 外箱SSCC Label
(贴纸以及位置图翻单PO#4500173688）
Remark: 1.请务必按时完货，验货。并且按期送货入货代指定仓库，如果晚了导致船期Delay将会有罚金产生或者客户要求空运，所产生的罚金和空运费由工厂承担。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外箱贴纸请同纸箱瓦楞纸方向（竖纹向）垂直，即外箱贴纸横着贴(注意条码不要被胶带粘住），贴1pc，贴1面正唛，封箱胶纸不能挡住贴纸内容。外箱贴纸
离外箱边距离不少于2cm。
3.外箱材质为ZURU标准；
4.此单需使用KMART封箱胶上下工字型封箱;从2019年6月开始，要用KMART 新版封箱胶带，此单要用"ANKO"封箱胶带
5.此单出口澳大利亚，请按相应的澳新标准生产；
6.产品和包装上生产批号的显示格式ZURU标准日期码格式
7.外箱信息不可手写，重量和体积需要与实际的一致(不可手写）
8. 每款item装箱后的G.W.超过10KG或者CBM超过0.13,(9.5KG或者以上，四舍五入后也属于10KG) 需在外箱上加印超 重或者Bulky LOGO，若发现我们资料没有，请
帮忙提醒
1)重量超过10kg但不超过16kg且CBM不超过0.13,10-16kg 超重logo
2）CBM超过0.13且重量少于17kg，bulky logo
3）不属于以上两种情况，需要使用相应重量范围内的超重logo
4）超重logo需要在外箱四面都印刷(箱唛右上角，两面侧唛超重logo需要尽量靠近毛重)，尺寸为:110mm height* 95mm width
9. 实际外箱重量跟印在箱唛上的数据差异不能超3%，尺寸按实际数据印刷</t>
  </si>
  <si>
    <t>96940-11.13</t>
  </si>
  <si>
    <t>4500180535-10</t>
  </si>
  <si>
    <t>日期码格式：ZURU INC(BVI) 标准格式 日期：按实际生产日期
Packaging Info: 77770GQ1:MA英语UPC版本包装（收缩膜和说明书, MA首选1L，如无1L可用多语且含英语的配套多语包装) + 1张防盗贴纸+箱唛 + 外箱SSCC Label
(贴纸以及位置图翻单PO#4500173688）
Remark: 1.请务必按时完货，验货。并且按期送货入货代指定仓库，如果晚了导致船期Delay将会有罚金产生或者客户要求空运，所产生的罚金和空运费由工厂承担。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外箱贴纸请同纸箱瓦楞纸方向（竖纹向）垂直，即外箱贴纸横着贴(注意条码不要被胶带粘住），贴1pc，贴1面正唛，封箱胶纸不能挡住贴纸内容。外箱贴纸
离外箱边距离不少于2cm。
3.外箱材质为ZURU标准；
4.此单需使用KMART封箱胶上下工字型封箱;从2019年6月开始，要用KMART 新版封箱胶带，此单要用"ANKO"封箱胶带
5.此单出口新西兰，请按相应的澳新标准生产；
6.产品和包装上生产批号的显示格式ZURU标准日期码格式
7.外箱信息不可手写，重量和体积需要与实际的一致(不可手写）
8. 每款item装箱后的G.W.超过10KG或者CBM超过0.13,(9.5KG或者以上，四舍五入后也属于10KG) 需在外箱上加印超 重或者Bulky LOGO，若发现我们资料没有，请
帮忙提醒
1)重量超过10kg但不超过16kg且CBM不超过0.13,10-16kg 超重logo
2）CBM超过0.13且重量少于17kg，bulky logo
3）不属于以上两种情况，需要使用相应重量范围内的超重logo
4）超重logo需要在外箱四面都印刷(箱唛右上角，两面侧唛超重logo需要尽量靠近毛重)，尺寸为:110mm height* 95mm width
9. 实际外箱重量跟印在箱唛上的数据差异不能超3%，尺寸按实际数据印刷</t>
  </si>
  <si>
    <t>96941-11.13</t>
  </si>
  <si>
    <t>PO#910-97686</t>
  </si>
  <si>
    <t>4500180563-40</t>
  </si>
  <si>
    <t>11/13入勤辉仓</t>
  </si>
  <si>
    <t>ZMPO250904</t>
  </si>
  <si>
    <t>Remark:大货最新版本/款号平均/请按款号装箱/并在外箱上注明款号/大货标准箱装箱/箱唛请参照邮件附件;备注：收到样品订单后尽快安排 ，注意样板品质质量要求要高于大货品质要求 ，送货时必须要附带送货单(没有送货单和QC检验合格报告的仓库一律拒绝收货)，请知悉，谢谢！</t>
  </si>
  <si>
    <t>97092-11.29</t>
  </si>
  <si>
    <t>ZMPO250891</t>
  </si>
  <si>
    <t>Remark：大货最新版本/只需要PDQ的Demo+吸塑；备注： 收到样品订单后尽快安排 ，此订单麻烦在外箱上备注是海运订单/注意样板品质质量要求要高于大货品质质量 ，送货时必须要附带送货单(没有送货单和QC检验合格报告的仓库一律拒绝收货)，请知悉，谢谢！</t>
  </si>
  <si>
    <t>大货最新版本/只需要PDQ的Demo+吸塑</t>
  </si>
  <si>
    <t>10001493518-3891</t>
  </si>
  <si>
    <t>4500180023-20</t>
  </si>
  <si>
    <t>11/18出货</t>
  </si>
  <si>
    <t>ZB02992-11.19</t>
  </si>
  <si>
    <t>SUOMEN OSUUSKAUPPOJEN KESKUSKUNTA</t>
  </si>
  <si>
    <t>芬兰</t>
  </si>
  <si>
    <t>4500175911-10</t>
  </si>
  <si>
    <t xml:space="preserve"> EAN#4894680019836/care@zuru.com邮箱地址做成一张贴纸贴在彩盒上(贴纸和位置图翻PO#4500161056)+一张芬兰语警告
语翻译贴纸覆盖原本MA错误的芬兰语翻译(贴纸和位置图翻PO#4500161056)</t>
  </si>
  <si>
    <t>日期码格式：ZURU INC(BVI) 标准格式 日期：按实际生产日期
Packaging Info: 1. 77770GQ1: MA A3L EAN版收缩膜+瑞典芬兰爱沙尼亚警告语/MADE IN CHINA翻译成瑞典芬兰爱沙尼亚语做成一张贴纸+MA A5L(23L warning)收藏指南+MA A3L PDQ
Remark: *. 77770GQ1新款: 需要在11/13安排ITS第三方验货，请多备料
77770GQ1新款: 请在11/2之前提供三个带包装的球+三套所有散配件(每一套放一个polybag里面)大货签板给我们签回供第三方验货用，签板必须跟大货完全一致，否
则验货会不合格
*. 包装如含PVC,请改为PET并第一时间通知跟单
*. 产品/包装要求无硼无香，出欧洲，微塑料需合规。
*.带电池出货的产品所用到的电池需要符合欧洲电池新规(EU) 2023-1542
*.有胶袋的产品：要求产品的胶袋厚度要大于等于0.05mm
*.关于贴纸，如果贴纸位置图的包装版本与大货不一致，请工厂第一时间提前提出。跟单会重新调整确认是否更新贴纸或调整位置图
*.产品/包装不含PFAS成分
*.产品条码如下: 请先检查条码是否正确再安排做货，如有问题请告知
ZURU ITEM#&lt;(&gt;&amp;&lt;)&gt;EAN
77770GQ1-S002:4894680050518</t>
  </si>
  <si>
    <t>Sheba</t>
  </si>
  <si>
    <t>97053-11.28</t>
  </si>
  <si>
    <t>77770GQ1-S002-3L</t>
  </si>
  <si>
    <t>GLOBUS LOGISTIK GMBH AND CO KG</t>
  </si>
  <si>
    <t>10357170 10357227</t>
  </si>
  <si>
    <t>4500180582-30</t>
  </si>
  <si>
    <t>迷你包包S4 25pcs/箱-3L</t>
  </si>
  <si>
    <t>DE警语贴纸</t>
  </si>
  <si>
    <t>日期码格式：ZURU INC(BVI) 标准格式 日期：按实际生产日期
Packaging Info:
77770GQ2-S002：最新MA 3L EAN收缩膜+DE警语贴纸，MA 5L收藏指南，MA纸袋，MA 3L PDQ
Remark: 1. 此单出德国，需准时出货，微塑料需符合法规；无须客户第三方验货但是需要在11/14提供验货图片(含不良图）。待客人放货后才能安排走货。
2. 外箱正唛需要贴产品图片贴纸
3. 外箱印4面-2*正唛+2*侧唛
4. 一个外箱里超过一个PDQ- 外箱上无需印GTIN 条码 / 一个外箱里只有一个PDQ- 外箱上印GTIN 条码
5. 需要在货期前一个月安排样品给客户评估（非测试，包装无要求）
6. 所有出往欧洲订单的电子产品需增加一张客版 B版 WEEE声明说明书，区分带电池(WEEE 带电池走货 B版 通用30L 说明书)和不带电池版本(WEEE 不带电池走货
B版 通用30L 说明书)
7. 所有出往GAS市场(德国/奥地利/瑞士)的电子产品身上需要加字唛，为ZURU FRANCE 地址，需跟包装上的地址一致 (如无电子产品，产品布标有此地址，或产品太
小无法增加可忽略此信息。如产品无法加字唛，需让对应跟单提供产品贴纸资料)
新地址：ZURU France 33 rue Paul Meurice 75020 Paris, France
旧地址：ZURU France 1/3, Rue d'Argenteuil 95210 SAINT-GRATIEN, FRANCE
8. 所有出往GAS市场(德国/奥地利/瑞士)订单，化学品需无硼无香版本。</t>
  </si>
  <si>
    <t>Nicole Ye</t>
  </si>
  <si>
    <t>97025-11.26</t>
  </si>
  <si>
    <t>77770GQ2-S002-3L</t>
  </si>
  <si>
    <t>AB GEE OF RIPLEY LTD.</t>
  </si>
  <si>
    <t>777 3JAN26</t>
  </si>
  <si>
    <t>4500180232-30</t>
  </si>
  <si>
    <t>77770GQ2-S003</t>
  </si>
  <si>
    <t>迷你包包S4 25pcs/箱-S003</t>
  </si>
  <si>
    <t>日期码格式：ZURU INC(BVI) 标准格式 日期：按实际生产日期
Packaging Info: MA 最新UPC包装，各款的条码如下，请先检查条码是否正确再安排做货，如有问题请告知,配比跟MA
3.77770GQ2：193052089465
Remark: "1.产品及包装需要印UKCA图标，包装需要有ZURU UK LTD/ZURU France地址信息，QC同事请核查，如有问题与跟单确认。
2. 需要符合欧洲标准不能含有闪粉和微塑料，否则不合法规会有客诉产生
3.以上产品如果是电子产品带电池出货，请加上WEEE带电池走货欧洲30语通用黑白说明书, 如果是电子产品不带电池出货，请加上WEEE不带电池走货欧洲30语通用黑
白说明书"</t>
  </si>
  <si>
    <t>Zoe Zhou</t>
  </si>
  <si>
    <t>97006-11.24</t>
  </si>
  <si>
    <t>BIG W</t>
  </si>
  <si>
    <t>47882806 SYD</t>
  </si>
  <si>
    <t>4500181756-10</t>
  </si>
  <si>
    <t>1张进口商贴纸；</t>
  </si>
  <si>
    <t>日期码格式：ZURU INC(BVI) 标准格式 日期：按实际生产日期
Packaging Info: 1. 包装：
77770GQ1：英文MA包装 (UPC版本，首选1L，无1L可用多L含英语)+1张进口商贴纸；
2. 进口商贴纸上已经去掉日期码，产品和包装上的日期码一致，请按要求在包装上打日期码（进口商贴纸不覆盖日期码）
3. 原指定日期码DDMMYY可改用ZURU标准日期码
Remark: 1. 共出4港口 (SYD, BNE, MEL, FRE)，不同港口数量信息请见订单行项目，并请参考箱唛资料，港口不同，箱唛资料也不同；
2. 箱唛不可出现任何手写内容（箱数除外），重量与实际一致且不可手写；
3. 此单出澳大利亚，请按澳洲标准生产并满足当地法规要求；
4. 出无闪粉版本，需符合欧洲微塑料法规。
5. 确保所出货的产品及包装不含PFAS（全氟/多氟烷基化合物）及其盐类和其相关物质，特别留意 PFOA、PFOS、PFHxS 不得检出。</t>
  </si>
  <si>
    <t>Christine Liao</t>
  </si>
  <si>
    <t>97051-11.29</t>
  </si>
  <si>
    <t>47882807 BNE</t>
  </si>
  <si>
    <t>4500181756-20</t>
  </si>
  <si>
    <t>47882808 MEL</t>
  </si>
  <si>
    <t>4500181756-30</t>
  </si>
  <si>
    <t>97007-11.24</t>
  </si>
  <si>
    <t>47882809 FRE</t>
  </si>
  <si>
    <t>4500181756-40</t>
  </si>
  <si>
    <t>10/21入仓</t>
  </si>
  <si>
    <t>96988-11.21</t>
  </si>
  <si>
    <t>ZURU DENMARK APS</t>
  </si>
  <si>
    <t>丹麦</t>
  </si>
  <si>
    <t>4500181278-130</t>
  </si>
  <si>
    <t>多语警语贴纸</t>
  </si>
  <si>
    <t>日期码格式：ZURU INC(BVI) 标准格式 日期：按实际生产日期
Packaging Info:
77711GQ1: 最新MA PDQ+最新 MA 3L EAN 收缩膜 +1*多语折叠警告语贴纸（翻单4500157858） + MA 5L收藏指南+ MA 23L说明书+ MA UV胶黑白警告语 + MA纸袋
Remark: 1.北欧内销单，需要通过ZURU 验货结果后才能出货 (工厂需要主动提前同ZURU QC预约验货避免延期出货造成不必要麻烦)；
2. 产品如含有化学品，需要无硼无香，
3.包装不能含有PVC，使用PET
4. date code: 外箱日期码要晚于产品日期码
5. 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
6.若有特定款有特殊外箱条码要求时,需要明确列出产品款对应的具体外箱条码号码/条码类型 (若无,可以忽略此需求)
7.所有出口欧洲的产品, 法规规定禁止在包装和共公众用的印刷品中使用矿物油中含有的物质, 包装印刷油墨中含有的MOAH/MOSH的质量浓度不能超过1%, 否则出货
到法国被抽检出现问题, 供应商需要对此负责;
8.带电池出货的产品所用到的电池需要符合欧洲电池新规(EU) 2023-1542。
9.ratio 同MA</t>
  </si>
  <si>
    <t>Niki Chen</t>
  </si>
  <si>
    <t>97026-11.26</t>
  </si>
  <si>
    <t>0938210321</t>
  </si>
  <si>
    <t>4500182120-10</t>
  </si>
  <si>
    <t>转自检</t>
  </si>
  <si>
    <t>ZB03032-11.22</t>
  </si>
  <si>
    <t>0938210363</t>
  </si>
  <si>
    <t>4500182120-20</t>
  </si>
  <si>
    <t>ZB03146-11.28</t>
  </si>
  <si>
    <t>0938210572</t>
  </si>
  <si>
    <t>4500182120-50</t>
  </si>
  <si>
    <t>11/25交仓</t>
  </si>
  <si>
    <t>10001493517-3890</t>
  </si>
  <si>
    <t>4500181503-20</t>
  </si>
  <si>
    <t>日期码格式：ZURU INC(BVI) 标准格式 日期：按实际生产日期
Packaging Info: 15760UQ1 产品包装MA, 5L 吊牌，MA 5L PDQ；
77770GQ2 产品包装(UPC 版) MA 1L收缩膜+MA 1L PDQ；
Remark:
77770GQ2
1. 77770GQ2-S002-MINI BRANDS-FASHION MINI BRANDS-SERIES 4-CAPSULE,WITH DEMO,25PCS/Gravity PDQ,25PCS/PDQ/CTN
2. 产品包装(UPC 版) MA 1L收缩膜+MA 1L PDQ；收缩膜上的UPC显示193052089465；
3. 外箱正唛左上角位置粘贴条码箱贴纸，每箱只贴一张，由ZURU订购。来料贴纸上显示的客户DPCI# 086-02-9624, UPC显示10193052089462;
以上所有item均：
1. 产品和包装上均要印刷tracking code信息，格式为ZURU常规格式;
2. 出货方式：货代自提</t>
  </si>
  <si>
    <t>ZB03173-12.1</t>
  </si>
  <si>
    <t>AMAZON UK</t>
  </si>
  <si>
    <t>Amazon UK:
8SM5GNLX</t>
  </si>
  <si>
    <t>4500181154-20</t>
  </si>
  <si>
    <t>1.空白外箱（加印带Zuru字样的最新logo，除了邮包盒直接做外箱的产品） + SSCC LABEL一张, 无箱唛，MADE IN CHINA 外箱只印一正一侧。箱唛资料按照给定的
 标准去做即可，无需发回我方再行审批(新标准将另行通知)</t>
  </si>
  <si>
    <t>1张贴纸(IT环保标)+ SSCC LABEL一张,</t>
  </si>
  <si>
    <t>日期码格式：ZURU INC(BVI) 标准格式 日期：按实际生产日期
Packaging Info: Amazon UK(15754BDEGH/77806/77809)/DE(15754DEH)/FR(15754BDGH/92129ABEGHJ)
2. 77806: 2PK#77770 in PVC TUBE,12tubes/ctn; 客版 3L(3L warning no barcode)A收缩膜(参考Amazon US翻单PO#4500179751)+MA 5L(23L warning)A收藏指南+M
A其他最新配套包装+客版3L(5L warning)A PVC彩卡(参考Amazon US翻单PO#4500179751)+1张贴纸(IT环保标)；
5.验货时间不迟于2025/11/24.
Remark: 1.空白外箱（加印带Zuru字样的最新logo，除了邮包盒直接做外箱的产品） + SSCC LABEL一张, 无箱唛，MADE IN CHINA 外箱只印一正一侧。箱唛资料按照给定的
标准去做即可，无需发回我方再行审批(新标准将另行通知)。
(SSCC LABEL竖贴在外箱正面的正中间，贴一面即可,贴纸离外箱边距必须至少3.2CM。如竖贴无法满足要求，则横贴。如横贴也无法满足要求，则竖贴，遮到ZURU lo
go无影响), SSCC贴纸由工厂直接跟勤得采购或者工厂自行采购，每一张SSCC Label都是唯一且有不同流水及条码，且需要检查条码是否能正常扫描，另外，此贴纸
印刷不可出现模糊，溢出及粘胶不牢易脱落等现象，如工厂不按此要求导致贴纸有任何问题产生的罚款将由工厂承担一切责任 。
2.出往UK的产品+包装务必打上UKCA logo ，否则客人会退货且当地会有罚款。
3.订单必须经过ZURU QC验货或者工厂自检通过后方可出货，不涉及第三方验货。
4.法国订单要求包装不使用矿物油，请按要求提供以下其中一份文件再出货 ，产品出到法国被相关部门抽检出现包装不符合此要求的，供应商需要为此承担责任，
故此请严格把关。
-油墨物质""""由1 ~ 7个芳香环组成的MOAH""""的包装检测报告，要求限值≤1.0%；
-包装材料清单，包括包装油墨或物质的信息；
-油墨制造商的证书；
5.每一批次出货只能有一个生产日期，不可多个生产日期混在同一批次出货；且零售包装上必须统一加上日期码；外箱对于日期码没有硬性规定；
6.涉及到相关款式会有闪粉的或者微塑料的，请统一默认出无闪粉或者不含微塑料版本；
7.邮包盒及外箱封箱必须是工字型封箱方式；
8.5 Surprise or Mini Brands涉及包装是2个及2个以上的球入PVC桶包装时，单个球上若有UPC#或者EAN#，请用空白贴纸覆盖住，贴纸尺寸自行测量能覆盖原条码即
可；</t>
  </si>
  <si>
    <t>Crystal Chen</t>
  </si>
  <si>
    <t>97125-10.2</t>
  </si>
  <si>
    <t>FREDMEYER INC</t>
  </si>
  <si>
    <t>000041592487</t>
  </si>
  <si>
    <t>4500180560-10</t>
  </si>
  <si>
    <t>12/1入仓</t>
  </si>
  <si>
    <t>ZB03619-11.28</t>
  </si>
  <si>
    <t>0938210394</t>
  </si>
  <si>
    <t>4500182123-10</t>
  </si>
  <si>
    <t>ZB03291R1-12.10</t>
  </si>
  <si>
    <t>PPTOYS PTE LTD (SG)</t>
  </si>
  <si>
    <t>新加坡</t>
  </si>
  <si>
    <t>ZU25090502SG</t>
  </si>
  <si>
    <t>4500181542-10</t>
  </si>
  <si>
    <t>1张固定图稿的进口商贴纸,贴纸资料待提供</t>
  </si>
  <si>
    <t>日期码格式：ZURU INC(BVI) 标准格式 日期：按实际生产日期
Packaging Info: MA UPC包装(优先1L)+1张固定图稿的进口商贴纸,贴纸资料待提供;
77770GQ1待维持20GP的单价
Remark: 92129-7 assortments, Ratio: Elephant: Toucan: Zebra: Sloth: Giraffe: Tiger: Peacock=10: 10: 10: 10: 10: 8: 2</t>
  </si>
  <si>
    <t>97050-11.28</t>
  </si>
  <si>
    <t>PO#500-53937</t>
  </si>
  <si>
    <t>4500182662-10</t>
  </si>
  <si>
    <t>日期码格式：ZURU INC(BVI) 标准格式 日期：按实际生产日期
Packaging Info: 1、包装方式:
其他Items: MA UPC 优先1L最新版，出口美国
Remark: 2、无测试无验货要求
3、纸箱4面印ZURU LOGO + 箱唛
4、日期码请按ZURU标准版执行即可
5、ZURU OQC验货</t>
  </si>
  <si>
    <t>ZB03339R1-12.12</t>
  </si>
  <si>
    <t>PO#600-78146</t>
  </si>
  <si>
    <t>4500182662-20</t>
  </si>
  <si>
    <t>ZB03347-12.13</t>
  </si>
  <si>
    <t>ICA SVERIGE AB</t>
  </si>
  <si>
    <t>瑞典</t>
  </si>
  <si>
    <t>849625/38434</t>
  </si>
  <si>
    <t>4500181046-20</t>
  </si>
  <si>
    <t>瑞典芬兰爱沙尼亚警告语/MADE IN CHINA翻译成瑞典芬兰爱沙尼亚语做成一张贴纸(贴纸和位置图翻SOK PO#4500175911)</t>
  </si>
  <si>
    <t>日期码格式：ZURU INC(BVI) 标准格式 日期：按实际生产日期
Packaging Info: 
2. 77770GQ1: MA A3L EAN版收缩膜+瑞典芬兰爱沙尼亚警告语/MADE IN CHINA翻译成瑞典芬兰爱沙尼亚语做成一张贴纸(贴纸和位置图翻SOK PO#4500175911)+MA A5L
(23L warning)收藏指南+MA A3L PDQ
Remark: 1. 包装如含PVC,请改为PET并第一时间通知跟单
2. 产品/包装要求无硼无香，出欧洲，微塑料需合规。
3. ICA针对带电池出货的产品，都要用碱性电池
4. 不能出带军事元素的产品，如有:请拿掉并告知跟单
5. 带电池出货的产品所用到的电池需要符合欧洲电池新规(EU) 2023-1542
6. 有胶袋的产品：要求产品的胶袋厚度要大于等于0.05mm
7. 关于贴纸，如果贴纸位置图的包装版本与大货不一致，请工厂第一时间提前提出。跟单会重新调整确认是否更新贴纸或调整位置图
8. 产品/包装不含PFAS成分
9. 如外箱重量超过15KG请马上通知跟单，需要客人审批才能出货
10. 产品条码如下: 请先检查条码是否正确再安排做货，如有问题请告知
ZURU ITEM#&lt;(&gt;&amp;&lt;)&gt;EAN#
77770GQ1-S002:4894680050518</t>
  </si>
  <si>
    <t>97124-10.2</t>
  </si>
  <si>
    <t>AMAZON ES</t>
  </si>
  <si>
    <t>西班牙</t>
  </si>
  <si>
    <t>Amazon ES:
6ZEGNFNV</t>
  </si>
  <si>
    <t>4500181123-20</t>
  </si>
  <si>
    <t>12/5入仓</t>
  </si>
  <si>
    <t>1张贴纸(IT环保标)77806贴纸参考翻单PO#4500181154+ SSCC LABEL一张,</t>
  </si>
  <si>
    <t>日期码格式：ZURU INC(BVI) 标准格式 日期：按实际生产日期
Packaging Info: Amazon ES(77806/77809)/IT(77806/77809)
1. 77806：2PK#77770 in PVC TUBE,12tubes/ctn; 客版 3L(3L warning no barcode)A收缩膜(参考Amazon US翻单PO#4500179751)+MA 5L(23L warning)A收藏指南+M
A其他最新配套包装+客版3L(5L warning)A PVC彩卡(参考Amazon US翻单PO#4500179751)+1张贴纸(IT环保标,参考翻单PO#4500181154)；
3. 最迟验货不得晚于2025/11/27;
Remark: 1.空白外箱（加印带Zuru字样的最新logo，除了邮包盒直接做外箱的产品） + SSCC LABEL一张, 无箱唛，MADE IN CHINA 外箱只印一正一侧。箱唛资料按照给定的
标准去做即可，无需发回我方再行审批(新标准将另行通知)。
(SSCC LABEL竖贴在外箱正面的正中间，贴一面即可,贴纸离外箱边距必须至少3.2CM。如竖贴无法满足要求，则横贴。如横贴也无法满足要求，则竖贴，遮到ZURU lo
go无影响), SSCC贴纸由工厂直接跟勤得采购或者工厂自行采购，每一张SSCC Label都是唯一且有不同流水及条码，且需要检查条码是否能正常扫描，另外，此贴纸
印刷不可出现模糊，溢出及粘胶不牢易脱落等现象，如工厂不按此要求导致贴纸有任何问题产生的罚款将由工厂承担一切责任 。
2.出往UK的产品+包装务必打上UKCA logo ，否则客人会退货且当地会有罚款。
3.订单必须经过ZURU QC验货或者工厂自检通过后方可出货，不涉及第三方验货。
4.法国订单要求包装不使用矿物油，请按要求提供以下其中一份文件再出货 ，产品出到法国被相关部门抽检出现包装不符合此要求的，供应商需要为此承担责任，
故此请严格把关。
-油墨物质""""由1 ~ 7个芳香环组成的MOAH""""的包装检测报告，要求限值≤1.0%；
-包装材料清单，包括包装油墨或物质的信息；
-油墨制造商的证书；
5.每一批次出货只能有一个生产日期，不可多个生产日期混在同一批次出货；且零售包装上必须统一加上日期码；外箱对于日期码没有硬性规定；
6.涉及到相关款式会有闪粉的或者微塑料的，请统一默认出无闪粉或者不含微塑料版本；
7.邮包盒及外箱封箱必须是工字型封箱方式；
8.5 Surprise or Mini Brands涉及包装是2个及2个以上的球入PVC桶包装时，单个球上若有UPC#或者EAN#，请用空白贴纸覆盖住，贴纸尺寸自行测量能覆盖原条码即
可；</t>
  </si>
  <si>
    <t>Mandy Hu</t>
  </si>
  <si>
    <t>97171-12.9</t>
  </si>
  <si>
    <t>意大利</t>
  </si>
  <si>
    <t>Amazon IT:
27KF1ZOX</t>
  </si>
  <si>
    <t>4500181123-40</t>
  </si>
  <si>
    <t>97194-12.11</t>
  </si>
  <si>
    <t>NORWEGIAN TOY IMPORT AS - DOM</t>
  </si>
  <si>
    <t>挪威</t>
  </si>
  <si>
    <t>4500182163-180</t>
  </si>
  <si>
    <t>日期码格式：ZURU INC(BVI) 标准格式 日期：按实际生产日期
Packaging Info:
77770GQ1-S002:3L EAN A版包装+进口商贴纸+其它MA 包装/PDQ
77770SK1-S002:3L EAN A版包装+进口商贴纸+其它MA 包装+3L 展示架
Remark: 1. 产品和包装要求无硼无香，包装不能含有PVC; 此客户NTI不能出14+的产品
2. 如有微塑料，必须合规欧洲标准，闪粉也是微塑料的一种，目前仅接受三张方式1.去除，2.用可降解材料，和3. 永久封印在固体。
3. 带电池出货的产品,电池需要符合欧洲电池新规(EU) 2023-1542.
4. 同一个SKU, 如果客户同时下Bulk/PDQ/SK/EC, 进口商贴纸可以只显示Bulk 的客户客户款号。产品包装上必须有客户进口商信息。</t>
  </si>
  <si>
    <t>Luna Lin</t>
  </si>
  <si>
    <t>97365-12.3</t>
  </si>
  <si>
    <t>4500182163-210</t>
  </si>
  <si>
    <t>迷你包包4代
展示架/带底座-3L</t>
  </si>
  <si>
    <t>日期码格式：ZURU INC(BVI) 标准格式 日期：按实际生产日期
Packaging Info: 
77770GQ1-S002:3L EAN A版包装+进口商贴纸+其它MA 包装/PDQ
77770SK1-S002:3L EAN A版包装+进口商贴纸+其它MA 包装+1L 展示架
Remark: 1. 产品和包装要求无硼无香，包装不能含有PVC; 此客户NTI不能出14+的产品
2. 如有微塑料，必须合规欧洲标准，闪粉也是微塑料的一种，目前仅接受三张方式1.去除，2.用可降解材料，和3. 永久封印在固体。
3. 带电池出货的产品,电池需要符合欧洲电池新规(EU) 2023-1542.
4. 同一个SKU, 如果客户同时下Bulk/PDQ/SK/EC, 进口商贴纸可以只显示Bulk 的客户客户款号。产品包装上必须有客户进口商信息。</t>
  </si>
  <si>
    <t>AMAZON EU SARL, NDL DEUTSCHLAND</t>
  </si>
  <si>
    <t>Amazon DE:
362WDRWM</t>
  </si>
  <si>
    <t>4500181162-10</t>
  </si>
  <si>
    <t>1张贴纸(IT环保标, 参考翻单PO#4500181154)</t>
  </si>
  <si>
    <t>日期码格式：ZURU INC(BVI) 标准格式 日期：按实际生产日期
Packaging Info: Amazon DE(77806)/FR(157102/157103/157107AB/15746ABDE/15747/15749ABDEGH/15750ABDEH/15752ABDEGH/15755ABDE/15757/77806)
1. 77806: 2PK#77770 in PVC TUBE,12tubes/ctn; 客版 3L(3L warning no barcode)A收缩膜(参考Amazon US翻单PO#4500179751)+MA 5L(23L warning)A收藏指南+M
A其他最新配套包装+客版3L(5L warning)A PVC彩卡(参考Amazon US翻单PO#4500179751)+1张贴纸(IT环保标, 参考翻单PO#4500181154)；
12. 验货时间不迟于2025/12/1.
Remark: 1.空白外箱（加印带Zuru字样的最新logo，除了邮包盒直接做外箱的产品） + SSCC LABEL一张, 无箱唛，MADE IN CHINA 外箱只印一正一侧。箱唛资料按照给定的
标准去做即可，无需发回我方再行审批(新标准将另行通知)。
(SSCC LABEL竖贴在外箱正面的正中间，贴一面即可,贴纸离外箱边距必须至少3.2CM。如竖贴无法满足要求，则横贴。如横贴也无法满足要求，则竖贴，遮到ZURU lo
go无影响), SSCC贴纸由工厂直接跟勤得采购或者工厂自行采购，每一张SSCC Label都是唯一且有不同流水及条码，且需要检查条码是否能正常扫描，另外，此贴纸
印刷不可出现模糊，溢出及粘胶不牢易脱落等现象，如工厂不按此要求导致贴纸有任何问题产生的罚款将由工厂承担一切责任 。
2.出往UK的产品+包装务必打上UKCA logo ，否则客人会退货且当地会有罚款。
3.订单必须经过ZURU QC验货或者工厂自检通过后方可出货，不涉及第三方验货。
4.法国订单要求包装不使用矿物油，请按要求提供以下其中一份文件再出货 ，产品出到法国被相关部门抽检出现包装不符合此要求的，供应商需要为此承担责任，
故此请严格把关。
-油墨物质""""由1 ~ 7个芳香环组成的MOAH""""的包装检测报告，要求限值≤1.0%；
-包装材料清单，包括包装油墨或物质的信息；
-油墨制造商的证书；
5.每一批次出货只能有一个生产日期，不可多个生产日期混在同一批次出货；且零售包装上必须统一加上日期码；外箱对于日期码没有硬性规定；
6.涉及到相关款式会有闪粉的或者微塑料的，请统一默认出无闪粉或者不含微塑料版本；
7.邮包盒及外箱封箱必须是工字型封箱方式；
8.5 Surprise or Mini Brands涉及包装是2个及2个以上的球入PVC桶包装时，单个球上若有UPC#或者EAN#，请用空白贴纸覆盖住，贴纸尺寸自行测量能覆盖原条码即
可；</t>
  </si>
  <si>
    <t>97170-12.9</t>
  </si>
  <si>
    <t>法国</t>
  </si>
  <si>
    <t>Amazon FR:
889GH8TX</t>
  </si>
  <si>
    <t>4500181162-20</t>
  </si>
  <si>
    <t>THE WAREHOUSE LIMITED</t>
  </si>
  <si>
    <t>4500184328-10</t>
  </si>
  <si>
    <t>日期码格式：ZURU INC(BVI) 标准格式 日期：按实际生产日期
Packaging Info: MA UPC 英语包装（优先1L英语版本，或者3L/5L含英语都可）
Remark: 1.此客人不接受易掉落或者剥落或者可直接触碰的闪粉，可降解也不行，但可以接
受符合欧洲微塑料标准的珠光粉或者闪片。</t>
  </si>
  <si>
    <t>Ivy Li</t>
  </si>
  <si>
    <t>97161-12.8</t>
  </si>
  <si>
    <t>4500184328-20</t>
  </si>
  <si>
    <t>LLC SALUS</t>
  </si>
  <si>
    <t>俄罗斯联邦</t>
  </si>
  <si>
    <t>4500181881-300</t>
  </si>
  <si>
    <t>进口商贴纸+ QR code贴纸（要求每1PCS 的QR 不一样 ）</t>
  </si>
  <si>
    <t>日期码格式：ZURU INC(BVI) 标准格式 日期：按实际生产日期
Packaging Info: MA UPC 彩卡 + 进口商贴纸+ QR code贴纸（要求每1PCS 的QR 不一样 ）。MA 说明书/指南/PDQ（如有）
Remark: 注意：
1. QR 贴纸要求： 二维码+ 序列号，二维码（QR code）正方形边长 1.5cm 。
材质与粘性：采用与进口商贴纸一致的材质，强粘性、不易脱落/掉色。
印刷与尺寸：印刷质量不低于 1.5c，整体贴纸尺寸为 3×3cm（正方形）。
2. 二维码贴纸位置要远离包装上的条码及其他二维码， 贴在背面。
3. QR code贴纸（要求一物一码，每PCS的二维码不一样）;</t>
  </si>
  <si>
    <t>97109-3-12.1</t>
  </si>
  <si>
    <t>843820/37982</t>
  </si>
  <si>
    <t>4500178715-20</t>
  </si>
  <si>
    <t>日期码格式：ZURU INC(BVI) 标准格式 日期：按实际生产日期
Packaging Info:
2. 77770GQ1: MA A3L EAN版收缩膜+瑞典芬兰爱沙尼亚警告语/MADE IN CHINA翻译成瑞典芬兰爱沙尼亚语做成一张贴纸(贴纸和位置图翻SOK PO#4500175911)+MA A5L
(23L warning)收藏指南+MA A3L PDQ
Remark: *. 新款，请在11/20各寄两套大货样给客人留底
1. 包装如含PVC,请改为PET并第一时间通知跟单
2. 产品/包装要求无硼无香，出欧洲，微塑料需合规。
3. ICA针对带电池出货的产品，都要用碱性电池
4. 不能出带军事元素的产品，如有:请拿掉并告知跟单
5.带电池出货的产品所用到的电池需要符合欧洲电池新规(EU) 2023-1542
6.有胶袋的产品：要求产品的胶袋厚度要大于等于0.05mm
7.关于贴纸，如果贴纸位置图的包装版本与大货不一致，请工厂第一时间提前提出。跟单会重新调整确认是否更新贴纸或调整位置图
8.产品/包装不含PFAS成分
9.产品条码如下: 请先检查条码是否正确再安排做货，如有问题请告知
ZURU ITEM#&lt;(&gt;&amp;&lt;)&gt;EAN#
77770GQ1-S002:4894680050518</t>
  </si>
  <si>
    <t>97359-12.9</t>
  </si>
  <si>
    <t>GEKAS ULLAREED AB</t>
  </si>
  <si>
    <t>4500176686-90</t>
  </si>
  <si>
    <t>77770-S002</t>
  </si>
  <si>
    <t>迷你包包S4-2</t>
  </si>
  <si>
    <t>瑞典语警告语贴纸</t>
  </si>
  <si>
    <t>日期码格式：ZURU INC(BVI) 标准格式 日期：按实际生产日期
Packaging Info:
77770-S002:77770-S002:MA A 3L EAN 收缩膜+瑞典语警告语贴纸+MA collector guide+MA 纸袋
Remark: 1. 包装如含PVC,请改为PET，此单出瑞典，需要瑞典语警告语（贴纸需要加上）
2. 产品/包装要求无硼无香；
3. 出欧洲，微塑料需合规。
4.带电池出货的产品所用到的电池需要符合欧洲电池新规(EU) 2023-1542
5.关于贴纸，如果贴纸位置图的包装版本与大货不一致，请工厂提前提出。跟单会重新调整确认是否更新贴纸或调整位置图
6.产品/包装不含PFAS成分
7. 产品信息：
8. SKU-客户SKU-EAN
77770-S002-4894680050518</t>
  </si>
  <si>
    <t>97395-12.8</t>
  </si>
  <si>
    <t>0938210362</t>
  </si>
  <si>
    <t>4500183832-10</t>
  </si>
  <si>
    <t>ZB03290-12.10</t>
  </si>
  <si>
    <t>0938210369</t>
  </si>
  <si>
    <t>4500183832-20</t>
  </si>
  <si>
    <t>ZB03369-12.15</t>
  </si>
  <si>
    <t>0938210391</t>
  </si>
  <si>
    <t>4500183832-30</t>
  </si>
  <si>
    <t>12/11第三方验货到厂</t>
  </si>
  <si>
    <t>ZB03394-12.16</t>
  </si>
  <si>
    <t>NORDIC TOY TEAM AS - DOM</t>
  </si>
  <si>
    <t>4500183281-20</t>
  </si>
  <si>
    <t>日期码格式：ZURU INC(BVI) 标准格式 日期：按实际生产日期
Packaging Info: 
2. 77770GQ1: MA A3L EAN版收缩膜+进口商贴纸+MA A5L(23L warning)收藏指南+MA A3L PDQ
Remark: 1/配比跟MA
2/产品和包装要求无硼无香，包装不能含有PVC
3/出欧洲，微塑料需合规
4/带电池出货的产品，所用到的电池需要符合欧洲电池新规(EU)2023-1542</t>
  </si>
  <si>
    <t>97188-12.11</t>
  </si>
  <si>
    <t>TAS IMPORT AS(LEKEKASSEN)</t>
  </si>
  <si>
    <t>4500177965-50</t>
  </si>
  <si>
    <t>12/8出货</t>
  </si>
  <si>
    <t>警告语和MADE IN CHINA翻译成丹麦瑞典挪威语/客人进口商地址做成一张贴纸</t>
  </si>
  <si>
    <t>日期码格式：ZURU INC(BVI) 标准格式 日期：按实际生产日期
Packaging Info:
5. 77770GQ1: MA A3L EAN版收缩膜+警告语和MADE IN CHINA翻译成丹麦瑞典挪威语/客人进口商地址做成一张贴纸+MA A5L(23L warning)收藏指南+MA A3L PDQ
Remark: 1. 包装如含PVC,请改为PET并第一时间通知跟单
2. 产品/包装要求无硼无香，出欧洲，微塑料需合规。
3.带电池出货的产品所用到的电池需要符合欧洲电池新规(EU) 2023-1542
4.有胶袋的产品：要求产品的胶袋厚度要大于等于0.05mm
5.关于贴纸，如果贴纸位置图的包装版本与大货不一致，请工厂第一时间提前提出。跟单会重新调整确认是否更新贴纸或调整位置图
6.产品/包装不含PFAS成分
7.产品条码如下: 请先检查条码是否正确再安排做货，如有问题请告知
ZURU ITEM#&lt;(&gt;&amp;&lt;)&gt;EAN#
77770GQ1-S002:4894680050518</t>
  </si>
  <si>
    <t>Sheba Ye</t>
  </si>
  <si>
    <t>97384-12.6</t>
  </si>
  <si>
    <t>JUGUESAL S.A. DE C.V.</t>
  </si>
  <si>
    <t>厄瓜多尔</t>
  </si>
  <si>
    <t>25-1071942JUS</t>
  </si>
  <si>
    <t>4500181141-70</t>
  </si>
  <si>
    <t>进口商贴纸+UPC贴纸</t>
  </si>
  <si>
    <t>日期码格式：ZURU INC(BVI) 标准格式 日期：按实际生产日期
Packaging Info: 77770GQ2:MA 多语EAN包装+进口商贴纸+UPC贴纸+箱唛
Remark: 进口商贴纸内容会显示日期码为：2025-12，包装/产品/外箱可按ZURU标准日期码，不需要跟回进口商贴纸上的日期码</t>
  </si>
  <si>
    <t>Ava Liang</t>
  </si>
  <si>
    <t>97180-2-12.10</t>
  </si>
  <si>
    <t>ZHUYU(SHENZHEN)TRADING CO.,LTD.</t>
  </si>
  <si>
    <t>中国</t>
  </si>
  <si>
    <t>4500180429-10</t>
  </si>
  <si>
    <t>迷你包包S4 13pcs/箱-中文单</t>
  </si>
  <si>
    <t>SI 12/17</t>
  </si>
  <si>
    <t>收缩膜年龄贴（8+）</t>
  </si>
  <si>
    <t>日期码格式：ZURU INC(BVI) 标准格式 日期：按实际生产日期
Packaging Info: 物料要求 SKU
1 77770GQ1 MA PDQ +外挂中文收藏指南+ 收缩膜年龄贴（8+）
首单 需要提供 6套 大货样
Remark: 2.外箱材质如下：
1）毛重小于5kg 外箱纸质 K=B 爆破:1000Kpa 边压:4400N/M;
2）毛重大于5kg 外箱纸质 K636K 爆破:1400Kpa 边压:6300N/M;
3. 产品/销售包装/外箱日期码要一致，
4.此产品务必满足国内6P 测试标准，因为可能会被市场监督局抽查，如有问题产生，工厂要负全责
5. 这张订单做出厂价，我司自行安排车辆去贵司提货，贵司需要配合提供出口报关
6. 此单所有产品启用防窜码贴纸</t>
  </si>
  <si>
    <t>Dona Tang</t>
  </si>
  <si>
    <t>97225-12.16</t>
  </si>
  <si>
    <t>77770GQ1-S002-中文单</t>
  </si>
  <si>
    <t>MIGROS-GENOSSENSCHAFTS-BUND</t>
  </si>
  <si>
    <t>瑞士</t>
  </si>
  <si>
    <t>4500185407-20</t>
  </si>
  <si>
    <t>德意警告语贴纸+</t>
  </si>
  <si>
    <t>日期码格式：ZURU INC(BVI) 标准格式 日期：按实际生产日期
Packaging Info:
77770GQ1: MA 3L EAN收缩膜 +德意警告语贴纸+ MA 5L 收藏指南+MA纸袋 +MA PDQ
Remark: "1. 价格贴纸要求为可移动贴纸（包装备注有则需要满足要求，没有则忽略）
2.一套大货样品/item，请多备料。
3.延期出货会有罚款，请务必按时完货。
4.客人要求飞机孔的尺寸为3.0-3.2 cm（包装备注有则需要满足要求，没有则忽略）
5.所有包装材料禁止使用PVC，需改用PET材料
6. 出口欧洲 微塑料需合规
7. 请确保产品不含任何俄罗斯生产，或从俄罗斯进口的钢铁材料
8.所有出往欧洲订单的电子产品需增加一张客版WEEE声明说明书，区分带电池(WEEE 带电池走货 通用30L 说明书)和不带电池版本(WEEE 不带电池走货 通用30L 说
明书)
9.所有出往GAS市场(德国/奥地利/瑞士)的电子产品身上需要加字唛，为ZURU FRANCE 地址，需跟包装上的地址一致 (如无电子产品，产品布标有此地址，或产品太
小无法增加可忽略此信息。如产品无法加字唛，需让对应跟单提供产品贴纸资料)
新地址：ZURU France 33 rue Paul Meurice 75020 Paris, France
旧地址：ZURU France 1/3, Rue d'Argenteuil 95210 SAINT-GRATIEN, FRANCE"</t>
  </si>
  <si>
    <t>Winnie Zhong</t>
  </si>
  <si>
    <t>97202-12.13</t>
  </si>
  <si>
    <t>10001493630-3891</t>
  </si>
  <si>
    <t>4500182969-20</t>
  </si>
  <si>
    <t>日期码格式：ZURU INC(BVI) 标准格式 日期：按实际生产日期
Packaging Info:
77770GQ2 产品包装(UPC 版) MA 1L收缩膜+MA 1L PDQ；
Remark:
77770GQ2
1. 77770GQ2-S002-MINI BRANDS-FASHION MINI BRANDS-SERIES 4-CAPSULE,WITH DEMO,25PCS/Gravity PDQ,25PCS/PDQ/CTN
2. 产品包装(UPC 版) MA 1L收缩膜+MA 1L PDQ；收缩膜上的UPC显示193052089465；
3. 外箱正唛左上角位置粘贴条码箱贴纸，每箱只贴一张，由ZURU订购。来料贴纸上显示的客户DPCI# 086-02-9624, UPC显示10193052089462;
以上所有item均：
1. 产品和包装上均要印刷tracking code信息，格式为ZURU常规格式;
2. 出货方式：货代自提</t>
  </si>
  <si>
    <t>ZB03370-12.15</t>
  </si>
  <si>
    <t>0938210384</t>
  </si>
  <si>
    <t>4500183833-10</t>
  </si>
  <si>
    <t>12/15第三方验货</t>
  </si>
  <si>
    <t>ZB03558-12.27</t>
  </si>
  <si>
    <t>Amazon UK:
1ISO444L</t>
  </si>
  <si>
    <t>4500181165-20</t>
  </si>
  <si>
    <t>2025/12/12入仓</t>
  </si>
  <si>
    <t>日期码格式：ZURU INC(BVI) 标准格式 日期：按实际生产日期
Packaging Info: Amazon UK(77806/77809)/FR(92129ABEGHJ)
1.77806: 2PK#77770 in PVC TUBE,12tubes/ctn; 客版 3L(3L warning no barcode)A收缩膜(参考Amazon US翻单PO#4500179751)+MA 5L(23L warning)A收藏指南+MA
其他最新配套包装+客版3L(5L warning)A PVC彩卡(参考Amazon US翻单PO#4500179751)+1张贴纸(IT环保标, 参考翻单PO#4500181154)；
4.验货时间不迟于2025/12/5.
Remark: 1.空白外箱（加印带Zuru字样的最新logo，除了邮包盒直接做外箱的产品） + SSCC LABEL一张, 无箱唛，MADE IN CHINA 外箱只印一正一侧。箱唛资料按照给定的
标准去做即可，无需发回我方再行审批(新标准将另行通知)。
(SSCC LABEL竖贴在外箱正面的正中间，贴一面即可,贴纸离外箱边距必须至少3.2CM。如竖贴无法满足要求，则横贴。如横贴也无法满足要求，则竖贴，遮到ZURU lo
go无影响), SSCC贴纸由工厂直接跟勤得采购或者工厂自行采购，每一张SSCC Label都是唯一且有不同流水及条码，且需要检查条码是否能正常扫描，另外，此贴纸
印刷不可出现模糊，溢出及粘胶不牢易脱落等现象，如工厂不按此要求导致贴纸有任何问题产生的罚款将由工厂承担一切责任 。
2.出往UK的产品+包装务必打上UKCA logo ，否则客人会退货且当地会有罚款。
3.订单必须经过ZURU QC验货或者工厂自检通过后方可出货，不涉及第三方验货。
4.法国订单要求包装不使用矿物油，请按要求提供以下其中一份文件再出货 ，产品出到法国被相关部门抽检出现包装不符合此要求的，供应商需要为此承担责任，
故此请严格把关。
-油墨物质""""由1 ~ 7个芳香环组成的MOAH""""的包装检测报告，要求限值≤1.0%；
-包装材料清单，包括包装油墨或物质的信息；
-油墨制造商的证书；
5.每一批次出货只能有一个生产日期，不可多个生产日期混在同一批次出货；且零售包装上必须统一加上日期码；外箱对于日期码没有硬性规定；
6.涉及到相关款式会有闪粉的或者微塑料的，请统一默认出无闪粉或者不含微塑料版本；
7.邮包盒及外箱封箱必须是工字型封箱方式；
8.5 Surprise or Mini Brands涉及包装是2个及2个以上的球入PVC桶包装时，单个球上若有UPC#或者EAN#，请用空白贴纸覆盖住，贴纸尺寸自行测量能覆盖原条码即
可；</t>
  </si>
  <si>
    <t>97199-12.12</t>
  </si>
  <si>
    <t>ROFU KINDERLAND SPIELWARENHANDELSGE</t>
  </si>
  <si>
    <t>4500181904-10</t>
  </si>
  <si>
    <t>德语警告语贴纸+1*价格贴纸+ MA 5L 收藏指南+MA纸袋</t>
  </si>
  <si>
    <t>日期码格式：ZURU INC(BVI) 标准格式 日期：按实际生产日期
Packaging Info: 77770： MA 3L EAN收缩膜 +德语警告语贴纸+1*价格贴纸+ MA 5L 收藏指南+MA纸袋
Remark: "1. 出口欧洲，微塑料需符合法规；
2. 所有电子产品身上需要加字唛，为ZURU FRANCE 地址 (如无电子产品/产品布标有此地址/产品太小无法增加，可忽略此信息)
ZURU FRANCE 33 rue Paul Meurice 75020 Paris, France.
3. 所有出往德国订单的电子产品需增加一张客版WEEE声明说明书，区分带电池(WEEE 带电池走货 B版通用30L 说明书)和不带电池版本(WEEE 不带电池走货 B版通用
30L 说明书)
4. 此单需要在CRD前一天预约ZURU QC验货提供验货图片给客户确认才能出货
5. 需准时完成生产，推期出货会有罚款。
6. 此客户要求含布标的毛绒公仔，需要额外贴一张布标贴纸，区分电子产品（带电布标贴纸)和非电子产品(不带电布标贴纸)"</t>
  </si>
  <si>
    <t>97230-12.17</t>
  </si>
  <si>
    <t>77770-S001-3L</t>
  </si>
  <si>
    <t>LEKIA AB</t>
  </si>
  <si>
    <t>4500183825-100</t>
  </si>
  <si>
    <t>可折叠贴纸</t>
  </si>
  <si>
    <t>日期码格式：ZURU INC(BVI) 标准格式 日期：按实际生产日期
Packaging Info: 
77770GQ1-S002//3L-EAN A版收缩膜4894680050518+可折叠贴纸+MA 收藏指南/纸袋
Remark: "1. 包装如含PVC,请改为PET
2. 产品/包装要求无硼无香；
3. 出欧洲，微塑料需合规。
4.带电池出货的产品所用到的电池需要符合欧洲电池新规(EU) 2023-1542
5.关于贴纸，如果贴纸位置图的包装版本与大货不一致，请工厂提前提出。跟单会重新调整确认是否更新贴纸或调整位置图
6.产品/包装不含PFAS成分
7. 产品信息：</t>
  </si>
  <si>
    <t>Luna</t>
  </si>
  <si>
    <t>97405-12.16</t>
  </si>
  <si>
    <t>4500183825-110</t>
  </si>
  <si>
    <t>日期码格式：ZURU INC(BVI) 标准格式 日期：按实际生产日期
Packaging Info: 
77770SK1-S002//3L-EAN A版收缩膜4894680050518+可折叠贴纸+MA 收藏指南/纸袋+1L 展示架
Remark: "1. 包装如含PVC,请改为PET
2. 产品/包装要求无硼无香；
3. 出欧洲，微塑料需合规。
4.带电池出货的产品所用到的电池需要符合欧洲电池新规(EU) 2023-1542
5.关于贴纸，如果贴纸位置图的包装版本与大货不一致，请工厂提前提出。跟单会重新调整确认是否更新贴纸或调整位置图
6.产品/包装不含PFAS成分
7. 产品信息：</t>
  </si>
  <si>
    <t>4500184570-50</t>
  </si>
  <si>
    <t>多语警语折叠贴</t>
  </si>
  <si>
    <t>日期码格式：ZURU INC(BVI) 标准格式 日期：按实际生产日期
Packaging Info:
77770GQ1：最新NS 3L PDQ+最新MA 3L EAN收缩膜+1*多语警语折叠贴纸+最新MA 5L+23L警语收藏指南+MA纸袋
Remark: 1.德国内销单，需要通过ZURU 验货结果后才能出货 (工厂需要主动提前同ZURU QC预约验货避免延期出货造成不必要麻烦)；
2.产品如含有化学品（slime 等），需要无硼无香。需要无微塑料版本。
3.所有出口欧洲的产品, 法规规定禁止在包装和共公众用的印刷品中使用矿物油中含有的物质, 包装印刷油墨中含有的MOAH/MOSH的质量浓度不能超过1%, 否则出货
到法国被抽检出现问题, 供应商需要对此负责;
4. date code: 外箱日期码要晚于或等于产品日期码，不能早于产品的日期码；
5. 所有电子产品身上需要加字唛，为ZURU FRANCE 地址 (如无电子产品，或者产品布标有此地址，可忽略此信息)
如产品太小，也可忽略。如无法加字唛，可以用贴纸的形式加在产品身上。
ZURU FRANCE 33 rue Paul Meurice 75020 Paris, France.
6.所有出往德国订单的电子产品需增加一张欧洲通用WEEE声明说明书，区分带电池和不带电池版本, 如已做客版说明书可忽略此要求。
7.装柜时需要按照款式号码从小到大一款款依次装,避免终端仓库卸货混乱.若一个柜子涉及到几个不同国家内销单,装柜时需要一个国家装完后再装另一个国家的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
8.ratio 同MA
9. 若有特定款有特殊外箱条码要求时,需要明确列出产品款对应的具体外箱条码号码/条码类型 (若无,可以忽略此需求).</t>
  </si>
  <si>
    <t>97224-12.16</t>
  </si>
  <si>
    <t>4500180429-50</t>
  </si>
  <si>
    <t>0938210370</t>
  </si>
  <si>
    <t>4500183834-10</t>
  </si>
  <si>
    <t>12/25第三方验货</t>
  </si>
  <si>
    <t>ZB03459-12.22</t>
  </si>
  <si>
    <t>0938210377</t>
  </si>
  <si>
    <t>4500183834-20</t>
  </si>
  <si>
    <t>ZB03610-12.31</t>
  </si>
  <si>
    <t>0938210408</t>
  </si>
  <si>
    <t>4500183834-30</t>
  </si>
  <si>
    <t>0938210419</t>
  </si>
  <si>
    <t>4500183834-40</t>
  </si>
  <si>
    <t>AMAZON CA (VENDOR CENTER)</t>
  </si>
  <si>
    <t>加拿大</t>
  </si>
  <si>
    <t>7OAGSKGK</t>
  </si>
  <si>
    <t>4500184839-120</t>
  </si>
  <si>
    <t>SCC LABEL（客供贴纸+空白贴纸和客版3L铜版纸资料跟翻单#4500179751+</t>
  </si>
  <si>
    <t>日期码格式：ZURU INC(BVI) 标准格式 日期：按实际生产日期
Packaging Info: 出口加拿大，包装需要至少2/3L UPC版，无硼版本。
#77806: 2PK STD #77770入PVC筒,MA 3L 版收缩膜+空白贴纸和客版3L铜版纸资料跟翻单#4500179751。收藏指南和说明书为MA版本。（两个球的配比不能重复）。
Remark: 1. Amazon FOB订单，出口CA。外箱最长边不能超过25" （超过了，case pack只能为1），不符合要求的大货，一律不接受。
2. 外箱正面印ZURU Logo + SSCC LABEL（客供贴纸)，侧面印item#（订单上显示的SKU#) + carton size(以工厂实际尺寸为准，单位: inch) + MADE IN CHINA，
日期使用ZURU 标准版本 SSCC Label 显示的是客人自己的item#，SSCC Label 贴在外箱正面的正中间，贴一面即可，跟单订购，贴纸离外箱距必须至少3cm，每一
张SSCC label 都是唯一且有不同流水及条码的，没有损耗，绝对不可贴错 ，否则贴错或损坏一张会导致全部都错，千万要注意: SSCC 贴纸务必要在正中间(可以覆
盖Logo &lt;(&gt;&amp;&lt;)&gt; 箱唛)，否则会影响到仓库扫描识别。
3. 日期码使用ZURU标准版本。
4. 如果大货有要求入邮包盒，则对应的邮包盒上面要打上日期码。
5. 按照客户PO# 装柜/箱号顺序装柜，跟单会提前给到装柜计划。在大货生产/仓库存放时，请留意该装柜要求，以便装柜时不混乱（避免装错/装漏/找不到货号等
）。
6. 出口加拿大，包装需要至少2/3L UPC版，无硼版本。
7.邮包盒上要印刷日期码</t>
  </si>
  <si>
    <t>Kelly Shen</t>
  </si>
  <si>
    <t>97345-12.27</t>
  </si>
  <si>
    <t>2WSTIFBQ</t>
  </si>
  <si>
    <t>4500184839-130</t>
  </si>
  <si>
    <t>5M2XSV4L</t>
  </si>
  <si>
    <t>4500184839-140</t>
  </si>
  <si>
    <t>2EB8HBQW</t>
  </si>
  <si>
    <t>4500184839-150</t>
  </si>
  <si>
    <t>2PES3YVI</t>
  </si>
  <si>
    <t>4500184839-160</t>
  </si>
  <si>
    <t>0938210366</t>
  </si>
  <si>
    <t>4500183835-10</t>
  </si>
  <si>
    <t>12/30第三方验货</t>
  </si>
  <si>
    <t>ZMPO251070</t>
  </si>
  <si>
    <t>ZMPO251070-10</t>
  </si>
  <si>
    <t>Remark：大货最新版本/只需要齐全套三散件/麻烦用胶袋分装好一套为一袋/箱唛请参照邮件附件
备注：收到样品订单后尽快安排 ，注意样板品质质量要求要高于大货品质要求 ，送货时必须要附带送货单(没有送货单和QC检验合格报告的仓库一律拒绝收货)，请知悉，谢谢！</t>
  </si>
  <si>
    <t>ZMPO251070-20</t>
  </si>
  <si>
    <t>Remark：大货最新版本/产品按大货比例入PDQ/大货标准箱装箱/箱唛参照邮件附件
备注：收到样品订单后尽快安排 ，注意样板品质质量要求要高于大货品质要求 ，送货时必须要附带送货单(没有送货单和QC检验合格报告的仓库一律拒绝收货)，请知悉，谢谢！</t>
  </si>
  <si>
    <t>ZMPO251070-30</t>
  </si>
  <si>
    <t>10001502368-3890</t>
  </si>
  <si>
    <t>4500182971-40</t>
  </si>
  <si>
    <t>2025/12/24客上柜</t>
  </si>
  <si>
    <t>ZB03510R1-12.25</t>
  </si>
  <si>
    <t>DISTRIBUIDORA LIVERPOOL S.A DE C.V.</t>
  </si>
  <si>
    <t>4500182578-90</t>
  </si>
  <si>
    <t>日期码格式：ZURU INC(BVI) 标准格式 日期：按实际生产日期
Packaging Info: 77770GQ2:MA 多语 EAN 包装+UPC贴纸+进口商贴纸+价标贴纸+箱唛
Remark: 1.此单价格贴纸（ZURU定购).-无位置图，价标贴纸贴于产品背面右上角空白处（不遮挡西班牙语处），如有特殊情况，请重新确认位置图。
2.此单有第三方监柜，不用额外准备备品，会在大货中每款拆1pc，拆了包装的产品会由监装员用客供胶带封好或在外箱上写上""opened by telescope”
MOTHER UPC Barcode:</t>
  </si>
  <si>
    <t>COMERCIALIZADORA MEXICO AMERICANA S</t>
  </si>
  <si>
    <t>4500180866-90</t>
  </si>
  <si>
    <t>UPC条码贴纸+进口商贴纸</t>
  </si>
  <si>
    <t>日期码格式：LOTDGYYYYMMDD 日期：按实际生产日期
Packaging Info: 
7. 77770GQ2：MA 3L EAN包装+UPC条码贴纸+进口商贴纸+MA 5L收藏指南+MA 3L PDQ+箱唛
注意所有带电产品所用的保证书是通用的。
Remark: 1. 客版日期码要求：LOT+ZURU标准日期码格式。东莞生产的格式：LOTDGYYYYMMDD, DG是东莞拼音首字母，
YYYYMMDD是实际的年月日，例如(LOTDG20240920)
4. 此单有第三方监柜，至少多备一套完整的物料用于监柜，请多备料。
5. WM墨西哥防霉的新要求:货物必须在出货主箱和集装箱中按要求放置干燥剂，干燥剂指定品牌干霸
77770GQ2：需要在每箱放入6小包干燥剂，每包干燥剂重量2g
如走柜货等loading plan 确认后再通知集装箱干燥剂数量
此单会和其他工厂订单合并出4*40HC，每个HC需要放置20包干燥剂，每包干燥剂1KG</t>
  </si>
  <si>
    <t>已出货未打发票</t>
  </si>
  <si>
    <t>WALMART CENTRAL AMERICA-CR</t>
  </si>
  <si>
    <t>哥斯达黎加</t>
  </si>
  <si>
    <t>4500184316-90</t>
  </si>
  <si>
    <t>UPC贴纸+MA +进口商贴纸</t>
  </si>
  <si>
    <t>日期码格式：ZURU INC(BVI) 标准格式 日期：按实际生产日期
Packaging Info:
8. 77770GQ2：MA 3L EAN包装+UPC贴纸+MA 多语收藏指南+MA 3L PDQ包装+进口商贴纸+箱唛
Remark: 1.请注意产品包装条形码必须是UPC
2.无第三方验货</t>
  </si>
  <si>
    <t>97403-12.31</t>
  </si>
  <si>
    <t>WALMART CENTRAL AMERICA-GT</t>
  </si>
  <si>
    <t>危地马拉</t>
  </si>
  <si>
    <t>4500184355-90</t>
  </si>
  <si>
    <t>UPC贴纸+MA +进口商贴纸单翻单PO4500184316</t>
  </si>
  <si>
    <t>日期码格式：ZURU INC(BVI) 标准格式 日期：按实际生产日期
Packaging Info:
8. 77770GQ2：MA 3L EAN包装+UPC贴纸+MA 多语收藏指南+MA 3L PDQ包装+进口商贴纸+箱唛，贴纸翻单PO4500184316
Remark: 1.请注意产品包装条形码必须是UPC
2.无第三方验货</t>
  </si>
  <si>
    <t>97404-12.31</t>
  </si>
  <si>
    <t>WALMART CENTRAL AMERICA-HN</t>
  </si>
  <si>
    <t>萨尔瓦多</t>
  </si>
  <si>
    <t>4500184422-90</t>
  </si>
  <si>
    <t>97402-12.30</t>
  </si>
  <si>
    <t>BOL.COM</t>
  </si>
  <si>
    <t>荷兰</t>
  </si>
  <si>
    <t>BOL.COM:
P2516799A</t>
  </si>
  <si>
    <t>4500186266-70</t>
  </si>
  <si>
    <t>2张贴纸(1张EAN贴纸+1张NL警告语)</t>
  </si>
  <si>
    <t>日期码格式：ZURU INC(BVI) 标准格式 日期：按实际生产日期
Packaging Info: BOL.COM(15754BDEGH/15757/77806/77809/92129ABDEGHJ/157126/157127/157125A/77731/15728EG/71152/15762AB/15763AB)
3. 77806: 2PK#77770 in PVC TUBE,12tubes/ctn; 客版 3L(3L warning no barcode)A收缩膜(参考Amazon US翻单PO#4500179751)+MA 5L(23L warning)A收藏指南+M
A其他最新配套包装+客版3L(5L warning)A PVC彩卡(参考Amazon US翻单PO#4500179751)+2张贴纸(1张EAN贴纸+1张NL警告语)；
14. 验货时间不迟于2025/12/24.
Remark: 1. 出欧洲产品不可含闪粉或者微塑料，若所涉产品无闪粉或不含微塑料可忽略此点；
2. 5 Surprise or Mini Brands涉及包装是2个及2个以上的球入PVC桶包装时，单个球上若有UPC#或者EAN#，请用白色贴纸覆盖住；
3. 箱唛资料按照提供的要求去做即可，无需再发回我方确认；
4.柜货产品务必拉网且要拉紧，拉网要求： A: 网要结实同时网格要细，纸箱不能从网格处跌落下来 B: 打网固定8-10个点。请提供拉网的装柜照片给船务确认
后柜子再离厂。</t>
  </si>
  <si>
    <t>97326-12.25</t>
  </si>
  <si>
    <t>DISTRIBUIDORA JUGUETRON S.A. DE C.V</t>
  </si>
  <si>
    <t>50212600121</t>
  </si>
  <si>
    <t>4500184791-160</t>
  </si>
  <si>
    <t>进口商贴纸+UPC贴纸+外箱贴纸</t>
  </si>
  <si>
    <t>日期码格式：ZURU INC(BVI) 标准格式 日期：按实际生产日期
Packaging Info: 77770GQ2:MA 多语EAN包装+进口商贴纸+UPC贴纸+外箱贴纸+箱唛
Remark: 此单有第三方监柜，需要每款多备1套完整物料</t>
  </si>
  <si>
    <t>97362-12.29</t>
  </si>
  <si>
    <t>CORPORACION FAVORITA C.A.</t>
  </si>
  <si>
    <t>25-1071592JEC</t>
  </si>
  <si>
    <t>4500179365-10</t>
  </si>
  <si>
    <t>日期码格式：ZURU INC(BVI) 标准格式 日期：按实际生产日期
Packaging Info: MA 多语EAN包装+进口商贴纸+UPC贴纸+箱唛
Remark: 进口商贴纸内容会显示日期码为：2025-12，包装/产品/外箱可按ZURU标准日期码，不需要跟回进口商贴纸上的日期码</t>
  </si>
  <si>
    <t>97375-12.29</t>
  </si>
  <si>
    <t>Walgreens</t>
  </si>
  <si>
    <t>MPO03857</t>
  </si>
  <si>
    <t>MPO03857-10</t>
  </si>
  <si>
    <t>12/11抽板</t>
  </si>
  <si>
    <t>12/23送库有</t>
  </si>
  <si>
    <t>WIC贴贴纸纸</t>
  </si>
  <si>
    <t>Product Requirement
Remark: 1. 2% 损耗
2. 送货前必需通知我司安排验货
3. MA 1L包装 + WIC贴纸
77770 WIC # 756916
4. 产品和包装上要有ZURU 标准格式标准格式 tracking code DG20251210，产品和包装的日期必须一致。
5. 此单分为20%和80%数量，20%数量完成后用于抽板。77770和77711-NA 12/10完成后12/11抽板，抽板后才可以安排送货。12/18送20%数量到库有组装展示架，
对应PO号4500184559。80%数量 12/27送货。先安排20%数量，80%数量等收到客户正式PO后再安排。
6. 所有来料都要测试符合美国联邦法规和州法规后才可以做大货，特别是带液体，粉末，口水胶的产品，抽板需要做测微生物测试，必须保证化学品已经测过并达标
才可用生产。因测试问题延期造成罚款需由工厂承担，请知悉单独一款产品测试有问题都会影响整个展示架交期，罚款金额按整个展示架计算，请做好品质管控。
7. 装箱方式需要另外跟PM确认，展示架每款球装6PCS，需要工厂先分好比例，每款6个球装一起且款式不能重复，方便组装工厂直接入展示架。外箱用周转箱/周转
框，出货前需提供装箱清单。送货时周转箱/周转框带卡板加围好围膜，如未按要求送货需要工厂自行安排人手卸货。
8. 大货样需要每款球12PCS，待通知后再寄出。
9. 订单的所有测试与样品要求以跟单的要求为准，且为了避免QC验货拆货来不及补货，请准备适量的贴纸和产品备品。此订单数量只作为大货生产，不包含样板与备
品。
10. 关于混装展示架，各工厂交子件到最终母件工厂时，务必要 "带卡板出+围好围膜"。
如果没按要求的，请各工厂自行安排人手卸货。
11. 请贵司确保交货数量准确，与收货方交收清楚，如收货方提出任何异常，请立即安排处理解决。</t>
  </si>
  <si>
    <t>Cara Li</t>
  </si>
  <si>
    <t>MILLS FLEET FARM</t>
  </si>
  <si>
    <t>MPO03912</t>
  </si>
  <si>
    <t>Remark: 1. 包装：ZURU MA UPC版本最新包装；出口美国；
2. 日期码：产品包装及产品本身都必须有日期跟踪码，ZURU标准格式日期码，因该单是多工厂混装，为了统一，日期可以统一打12月17日
出货配比：
#MSLD161-S001-MIX BRAND-TOYS-MIXED-SERIES 1-MINI BRANDS/MY MINI BABY/SNACKLES/BUNCH O BALLOONS/XSHOT WATER/XSHOT
MIXED IN DISPLAY,74PCS/DISPLAY/
SLIP SHEET
子件成品于12月26送子件成品到koyo组装
First layer:
77770 Mini Fashions -6pcs
3. 订单的所有测试与样品要求以跟单的要求为准，且为了避免QC验货拆货来不及补货，请准备适量的贴纸和产品备品。此订单数量只作为大货生产，不包含
样板与备品。
4. 关于混装展示架，各工厂交子件到最终母件工厂时，务必要 "带卡板出+围好围膜"。
如果没按要求的，请各工厂自行安排人手卸货。
5. 请贵司确保交货数量准确，与收货方交收清楚，如收货方提出任何异常，请立即安排处理解决。</t>
  </si>
  <si>
    <t>Elsa Zheng/Mila Yao</t>
  </si>
  <si>
    <t>MPO03857-20</t>
  </si>
  <si>
    <t>12/31送库有</t>
  </si>
  <si>
    <t>ZMPO251087</t>
  </si>
  <si>
    <t>ZMPO251087-40</t>
  </si>
  <si>
    <t>Remark:大货版本/只要空球，球要用大货收缩膜收好
备注：收到样品订单后尽快安排 ，注意样板品质质量要求要高于大货品质要求 ，送货时必须要附带送货单(没有送货单和QC检验合格报告的仓库一律拒绝收货)，请知悉，谢谢！</t>
  </si>
  <si>
    <t>ZMPO251087-50</t>
  </si>
  <si>
    <t>Remark:大货版本/只需要齐全套散件/每款散件不需要用纸袋装好/麻烦用胶袋分装好一套为一袋
备注：收到样品订单后尽快安排 ，注意样板品质质量要求要高于大货品质要求 ，送货时必须要附带送货单(没有送货单和QC检验合格报告的仓库一律拒绝收货)，请知悉，谢谢！</t>
  </si>
  <si>
    <t>GP TURKEY</t>
  </si>
  <si>
    <t>土耳其</t>
  </si>
  <si>
    <t>4500184934-10</t>
  </si>
  <si>
    <t>进口商贴纸（含客户条码）</t>
  </si>
  <si>
    <t>日期码格式：ZURU INC(BVI) 标准格式 日期：按实际生产日期
Packaging Info: 1. 77770SK1: MA 1L收缩膜+进口商贴纸（含客户条码）; MA SK；MA 5L收藏指南；
77770GQ2: MA 1L收缩膜+进口商贴纸（含客户条码）; MA PDQ；MA 5L收藏指南；
需要增加一张WEEE声明（带电池走货版本的通用30L说明书）
2. 日期码：外箱上需要印客户日期码和ZURU STD日期码，其中客户日期码为ZUR5353；产品/布标/包装印zuru std生产日期的日期码，产品/包装/外箱上的ZURU STD
日期码必须保持一致。
3.每个item需要两套完整大货样, 寄到客户香港办公室，请多备料，地址如下：
Attn: Sylvia Li
Company name: GP Services HK Limited
Company address: Suite 1502, 15th Floor, Chinachem Golden Plaza, 77 Mody Road, TST East, Kowloon, Hong Kong
Company address (Chinese): 香港九龍尖沙咀東部麼地道77號華懋廣場1502室
Contact Tel: +852 2739 5363
Remark:</t>
  </si>
  <si>
    <t>4500184934-20</t>
  </si>
  <si>
    <t>日期码格式：ZURU INC(BVI) 标准格式 日期：按实际生产日期
Packaging Info: 1. 
77770GQ2: MA 1L收缩膜+进口商贴纸（含客户条码）; MA PDQ；MA 5L收藏指南+贴纸；
2. 日期码：外箱上需要印客户日期码和ZURU STD日期码，其中客户日期码为ZUR5353；产品/布标/包装印zuru std生产日期的日期码，产品/包装/外箱上的ZURU STD
日期码必须保持一致。
3.每个item需要两套完整大货样, 寄到客户香港办公室，请多备料，地址如下：
Attn: Sylvia Li
Company name: GP Services HK Limited
Company address: Suite 1502, 15th Floor, Chinachem Golden Plaza, 77 Mody Road, TST East, Kowloon, Hong Kong
Company address (Chinese): 香港九龍尖沙咀東部麼地道77號華懋廣場1502室
Contact Tel: +852 2739 5363
Remark:</t>
  </si>
  <si>
    <t>UPD, INC.</t>
  </si>
  <si>
    <t>PO# 35486</t>
  </si>
  <si>
    <t>4500181566-10</t>
  </si>
  <si>
    <t>日期码格式：ZURU INC(BVI) 标准格式 日期：按实际生产日期
Packaging Info: 1. 包装方式：MA UPC 优先1L 最新包装，出口美国
Remark: 2. 外箱箱唛红色和黑色双色印刷
3. 产品和包装上印刷tracking code信息，格式为ZURU常规
4. ITEM 92129TQ1
* S001-RAINBOCORNS-SPARKLE HEART SURPRISE-SERIES1-WILD HEART SURPRISE-SHRINK WRAP,3FACING6PCS/PDQ,12PCS/2PDQ/CTN
* 包装方式：MA 1L UPC包装 + MA 5L 收藏指南</t>
  </si>
  <si>
    <t>Angel Lin</t>
  </si>
  <si>
    <t>0938210372</t>
  </si>
  <si>
    <t>4500183836-10</t>
  </si>
  <si>
    <t>12/31第三方验货</t>
  </si>
  <si>
    <t>0938210420</t>
  </si>
  <si>
    <t>4500183836-20</t>
  </si>
  <si>
    <t>4500186878-10</t>
  </si>
  <si>
    <t>77770SK1-S001</t>
  </si>
  <si>
    <t>迷你包包4代
展示架-1L</t>
  </si>
  <si>
    <t>1/6bv</t>
  </si>
  <si>
    <t>日期码格式：ZURU DGYYYYMMDD CHINA(日期避开周末和法定节假日即可） 日期：按实际生产日期
Packaging Info: 1. 包装要求：
77770SK：MA 1L A版收缩膜+MA 5L A版收藏指南+MA A版纸袋+MA 1L sidekick包装
每pcs产品要贴一张RFID贴纸，RFID贴纸由ZURU提供，贴纸位置要严格按照客人签板
Remark: 1. 包装要求：
77770SK：MA 1L A版收缩膜+MA 5L A版收藏指南+MA A版纸袋+MA 1L sidekick包装
每pcs产品要贴一张RFID贴纸，RFID贴纸由ZURU提供，贴纸位置要严格按照客人签板
2.外箱RFID箱唛（四面右下角需印Zuru Logo)+ ITF-14条码；ITF-14条码印刷在外箱主唛左下角，外箱任一侧面角落备注："MADE IN CHINA" 字样，外箱箱唛资料待
提供。
3. 在产品上和包装上要有日期码、以及要有MADE IN CHINA和ZURU字样；
4. 产品如有扎带口要剪平，不能刮手。
5. 此单需要验货，请自行多备包装物料。
6. 30pcs/Sidekick/CTN</t>
  </si>
  <si>
    <t>77770SK1-S001-1L</t>
  </si>
  <si>
    <t>MANOR AG</t>
  </si>
  <si>
    <t>P015788486/S</t>
  </si>
  <si>
    <t>4500187019-20</t>
  </si>
  <si>
    <t>款号贴纸+DE IT警语贴纸</t>
  </si>
  <si>
    <t>日期码格式：ZURU INC(BVI) 标准格式 日期：按实际生产日期
Packaging Info:
77770GQ1：最新MA 3L EAN收缩膜+款号贴纸+DE IT警语贴纸，MA 5L收藏指南，MA纸袋，MA 3L PDQ
Remark: 1.此单出瑞士，微塑料需符合法规。
2.此单务必准时出货，如有推期会有罚款和空运。
其中推期1至7天扣款5%，推期8至14天扣款10%，推期15至21天扣款20%, 如此类推。
3.此单无须客户第三方验货，但是需要在12/31提供客人格式验货报告，待客人放货后才会放SO安排走货。
4.此单出货前要寄2套大货签办给到客户办公室+1套大货签办到罗湖办公室
5.所有出往欧洲订单的电子产品需增加一张客版 B版 WEEE声明说明书，区分带电池(WEEE 带电池走货 B版 通用30L 说明书)和不带电池版本(WEEE 不带电池走货
B版 通用30L 说明书)
6. 所有出往GAS市场(德国/奥地利/瑞士)的电子产品身上需要加字唛，为ZURU FRANCE 地址，需跟包装上的地址一致 （如该电子产品无法打上字唛但是可以在产品
上加贴纸，需让对应跟单提供产品贴纸资料。如无电子产品；或产品布标有此地址；或产品太小既无法增加字唛也无法加上贴纸，可忽略此信息。）
新地址：ZURU France 33 rue Paul Meurice 75020 Paris, France
旧地址：ZURU France 1/3, Rue d'Argenteuil 95210 SAINT-GRATIEN, FRANCE
7.所有出往GAS市场(德国/奥地利/瑞士)订单，化学品需无硼无香版本。</t>
  </si>
  <si>
    <t>77770GQ1-S001-3L</t>
  </si>
  <si>
    <t>4500186879-10</t>
  </si>
  <si>
    <t>1/9第三方转自检</t>
  </si>
  <si>
    <t>一张RFID贴纸</t>
  </si>
  <si>
    <t>4500186879-20</t>
  </si>
  <si>
    <t>RAMP-S CORPORATION</t>
  </si>
  <si>
    <t>菲律宾</t>
  </si>
  <si>
    <t>10-25-0021</t>
  </si>
  <si>
    <t>4500187918-10</t>
  </si>
  <si>
    <t>进口商贴纸,</t>
  </si>
  <si>
    <t>日期码格式：ZURU INC(BVI) 标准格式 日期：按实际生产日期
Packaging Info: MA UPC包装(优先1L)+进口商贴纸,待提供贴纸资料
Remark:</t>
  </si>
  <si>
    <t>CRG</t>
  </si>
  <si>
    <t>ZU02-26</t>
  </si>
  <si>
    <t>4500183616-150</t>
  </si>
  <si>
    <t>客版物料翻单PO450016130</t>
  </si>
  <si>
    <t>进口商贴纸+箱唛+UPC贴纸</t>
  </si>
  <si>
    <t xml:space="preserve">日期码格式：ZURU INC(BVI) 标准格式 日期：按实际生产日期
Packaging Info:
其余item：MA 多语EAN包装+进口商贴纸+UPC贴纸+箱唛
Remark: </t>
  </si>
  <si>
    <t>4500186880-10</t>
  </si>
  <si>
    <t>1/13第三方</t>
  </si>
  <si>
    <t>8OGOYCEQ</t>
  </si>
  <si>
    <t>4500186530-60</t>
  </si>
  <si>
    <t>空白贴纸+ SSCC LABEL（客供贴纸)</t>
  </si>
  <si>
    <t>日期码格式：ZURU INC(BVI) 标准格式 日期：按实际生产日期
Packaging Info: 
#77806: 2PK STD #77770入PVC筒,MA 3L 版收缩膜+空白贴纸和客版3L铜版纸资料跟翻单#4500179751。收藏指南和说明书为MA版本。（两个球的配比不能重复）。
Remark: 1. Amazon FOB订单，出口CA。外箱最长边不能超过25" （超过了，case pack只能为1），不符合要求的大货，一律不接受。
2. 外箱正面印ZURU Logo + SSCC LABEL（客供贴纸)，侧面印item#（订单上显示的SKU#) + carton size(以工厂实际尺寸为准，单位: inch) + MADE IN CHINA，
日期使用ZURU 标准版本 SSCC Label 显示的是客人自己的item#，SSCC Label 贴在外箱正面的正中间，贴一面即可，跟单订购，贴纸离外箱距必须至少3cm，每一
张SSCC label 都是唯一且有不同流水及条码的，没有损耗，绝对不可贴错 ，否则贴错或损坏一张会导致全部都错，千万要注意: SSCC 贴纸务必要在正中间(可以覆
盖Logo &lt;(&gt;&amp;&lt;)&gt; 箱唛)，否则会影响到仓库扫描识别。
3. 日期码使用ZURU标准版本。
4. 如果大货有要求入邮包盒，则对应的邮包盒上面要打上日期码。
5. 按照客户PO# 装柜/箱号顺序装柜，跟单会提前给到装柜计划。在大货生产/仓库存放时，请留意该装柜要求，以便装柜时不混乱（避免装错/装漏/找不到货号等
）。
6. 出口加拿大，包装需要至少2/3L UPC版，无硼版本。
7.邮包盒上要印刷日期码</t>
  </si>
  <si>
    <t>4500186881-10</t>
  </si>
  <si>
    <t>1/14第三方</t>
  </si>
  <si>
    <t>0938210361</t>
  </si>
  <si>
    <t>4500187235-10</t>
  </si>
  <si>
    <t>0938210387</t>
  </si>
  <si>
    <t>4500187235-20</t>
  </si>
  <si>
    <t>1/21第三方</t>
  </si>
  <si>
    <t>0938210401</t>
  </si>
  <si>
    <t>4500187235-30</t>
  </si>
  <si>
    <t>0938210404</t>
  </si>
  <si>
    <t>4500187235-40</t>
  </si>
  <si>
    <t>0938210413</t>
  </si>
  <si>
    <t>4500187235-50</t>
  </si>
  <si>
    <t>ZMPO260015</t>
  </si>
  <si>
    <t>ZMPO260015-20</t>
  </si>
  <si>
    <t>空展示架</t>
  </si>
  <si>
    <t>Remark:大货最新版本/只需要空展示架/请配齐展示架Demo+吸塑盒
备注：收到样品订单后尽快安排 ，注意样板品质质量要求要高于大货品质要求 ，送货时必须要附带送货单(没有送货单和QC检验合格报告的仓库一律拒绝收货)，请知悉，谢谢！</t>
  </si>
  <si>
    <t>NUEVOS ALMACENES, S.A.</t>
  </si>
  <si>
    <t>4500187623-60</t>
  </si>
  <si>
    <t>1/16第三方</t>
  </si>
  <si>
    <t>日期码格式：ZURU INC(BVI) 标准格式 日期：按实际生产日期
Packaging Info: 
77770GQ2:MA 多语 EAN包装+UPC贴纸+箱唛，无客户贴纸
Remark: 订单需第三方（QIMA)验货，无需签板，请多备料。
外箱上的箱唛资料会显示客户指定日期01-FEB-2026,产品/包装/外箱可以按ZURU 标准日期码打，也可以跟回外箱日期码，工厂自行选择,两者均可接受</t>
  </si>
  <si>
    <t>IMPORTADORA CHICOCOS</t>
  </si>
  <si>
    <t>玻利维亚</t>
  </si>
  <si>
    <t>4500185120-70</t>
  </si>
  <si>
    <t>UPC贴纸+箱唛，无客户贴纸纸</t>
  </si>
  <si>
    <t>日期码格式：ZURU INC(BVI) 标准格式 日期：按实际生产日期
Packaging Info: 
其余item：MA 多语包装+ UPC贴纸+箱唛，无客户贴纸
Remark:</t>
  </si>
  <si>
    <t>ZMPO260003</t>
  </si>
  <si>
    <t>Remark：大货最新版本/只需要左图中散件每套包含图中所有角色各34pcs
小黄鸡和小熊挂件也要
以及黑猫上带的粉色墨镜
备注：收到样品订单后尽快安排 ，注意样板品质质量要求要高于大货品质要求 ，送货时必须要附带送货单(没有送货单和QC检验合格报告的仓库一律拒绝收货)，请知悉，谢谢！</t>
  </si>
  <si>
    <t>JUGUETES PASTOR S.L.</t>
  </si>
  <si>
    <t>4500186008-10</t>
  </si>
  <si>
    <t>一张西班牙环保标贴纸</t>
  </si>
  <si>
    <t>日期码格式：ZURU INC(BVI) 标准格式 日期：按实际生产日期
Packaging Info: 1.77770GQ2：最新MA 3L EAN包装+一张西班牙环保标贴纸+MA 3L PDQ+MA 5L 收藏指南；
Remark: 1. 此单出西班牙，需满足EU测试标准要求，另外微塑料需符合EU法规；
2. 标准配比。
3.根据新电池法规（EU） 2023/1542，所有走欧洲市场的电子产品，都需要增加WEEE通用30L说明书（分带电池走货 跟不带电池走货两种），如工厂没有此文件，可
以找跟单提供。
4. 产品及包装需要印CE logo图标，包装需含有西班牙环保标 和care@zuru.com 邮箱地址， 另外，包装贴纸上面的警告语不可以覆盖西班牙警告语。QC同事请核
查，如有问题需和跟单确认。
5.此单需要准备每款两套大货样，请注意备料；</t>
  </si>
  <si>
    <t>Miya Fang</t>
  </si>
  <si>
    <t>7TUI3PTI</t>
  </si>
  <si>
    <t>4500187446-110</t>
  </si>
  <si>
    <t xml:space="preserve"> SSCC LABEL（客供贴纸</t>
  </si>
  <si>
    <t>4500188181-10</t>
  </si>
  <si>
    <t>西班牙环保标贴纸</t>
  </si>
  <si>
    <t>日期码格式：ZURU INC(BVI) 标准格式 日期：按实际生产日期
Packaging Info: 77770GQ2：最新MA 3L EAN版本包装+西班牙环保标贴纸+MA 收藏指南+MA 3L PDQ；
Remark: 1. 此单出西班牙，需满足EU测试标准要求，另外微塑料需符合EU法规；
2. 标准配比。
3.根据新电池法规（EU） 2023/1542，所有走欧洲市场的电子产品，都需要增加WEEE通用30L说明书（分带电池走货 跟不带电池走货两种），如工厂没有此文件，可
以找跟单提供。
4. 产品及包装需要印CE logo图标，包装需含有西班牙环保标 和care@zuru.com 邮箱地址， 另外，包装贴纸上面的警告语不可以覆盖西班牙警告语。QC同事请核
查，如有问题需和跟单确认。
5.毛绒玩具需要西班牙语言的洗涤说明；</t>
  </si>
  <si>
    <t>Mary Zhong</t>
  </si>
  <si>
    <t>4500186882-10</t>
  </si>
  <si>
    <t>0938210398</t>
  </si>
  <si>
    <t>4500187240-10</t>
  </si>
  <si>
    <t>1/26第三方</t>
  </si>
  <si>
    <t>SANBORN HERMANOS, S. A. DE C. V.</t>
  </si>
  <si>
    <t>4500188145-10</t>
  </si>
  <si>
    <r>
      <rPr>
        <sz val="12"/>
        <rFont val="宋体"/>
        <charset val="134"/>
        <scheme val="minor"/>
      </rPr>
      <t xml:space="preserve">日期码格式：ZURU INC(BVI) 标准格式 日期：按实际生产日期
Packaging Info: 1. 77770GQ2：3L MA EAN 收缩膜+UPC条码贴纸+进口商贴纸+MA 5L 收藏指南+MA 3L PDQ+箱唛
Remark: 77673：3PCS AG13 BATTERIES(INCLUDED)
15756：5 Assortments
15760UQ1：10 Assortment
15750：6 Assortments
15752：6 Assortments
</t>
    </r>
    <r>
      <rPr>
        <sz val="12"/>
        <color rgb="FFFF0000"/>
        <rFont val="宋体"/>
        <charset val="134"/>
        <scheme val="minor"/>
      </rPr>
      <t>客户有监装要求，每款需要多备1pc监柜样板用于监装，监柜样板要和大货一致</t>
    </r>
  </si>
  <si>
    <t>4500186883-10</t>
  </si>
  <si>
    <t>PLASTICOSUR S.A.</t>
  </si>
  <si>
    <t>4500189088-10</t>
  </si>
  <si>
    <t>一张西班牙环保标贴纸+（贴纸翻单4500186008）</t>
  </si>
  <si>
    <t>日期码格式：ZURU INC(BVI) 标准格式 日期：按实际生产日期
Packaging Info: 77770GQ2：最新MA 3L EAN包装+一张西班牙环保标贴纸+MA 3L PDQ+MA 5L 收藏指南；（贴纸翻单4500186008）；
Remark: 1. 此单出西班牙，需满足EU测试标准要求，另外微塑料需符合EU法规；
2. 标准配比。
3.根据新电池法规（EU） 2023/1542，所有走欧洲市场的电子产品，都需要增加WEEE通用30L说明书（分带电池走货 跟不带电池走货两种），如工厂没有此文件，可
以找跟单提供。
4. 产品及包装需要印CE logo图标，包装需含有西班牙环保标 和care@zuru.com 邮箱地址， 另外，包装贴纸上面的警告语不可以覆盖西班牙警告语。QC同事请核
查，如有问题需和跟单确认。
5.毛绒玩具需要西班牙语言的洗涤说明；</t>
  </si>
  <si>
    <t>0938210385</t>
  </si>
  <si>
    <t>4500187241-10</t>
  </si>
  <si>
    <t>2/2第三方</t>
  </si>
  <si>
    <t>0938210418</t>
  </si>
  <si>
    <t>4500187243-10</t>
  </si>
  <si>
    <t>0938210438</t>
  </si>
  <si>
    <t>4500187243-20</t>
  </si>
  <si>
    <t>CONTINENTE S.A.</t>
  </si>
  <si>
    <t>哥伦比亚</t>
  </si>
  <si>
    <t>COL-15-26-SPR</t>
  </si>
  <si>
    <t>4500187640-100</t>
  </si>
  <si>
    <t>日期码格式：DG20260120 日期：按实际生产日期
Packaging Info: 其余item：MA 多语包装+进口商贴纸+UPC贴纸+箱唛
Remark: 外箱/产品/包装-指定日期码：DG20260120</t>
  </si>
  <si>
    <t>000042845203</t>
  </si>
  <si>
    <t>4500189179-20</t>
  </si>
  <si>
    <t>日期码格式：ZURU INC(BVI) 标准格式 日期：按实际生产日期
Packaging Info: 1、包装方式：MA UPC优先1L最新版，出口美国
Remark: 2、无测试无验货要求
3、纸箱4面印ZURU LOGO + 箱唛
4、日期码请按ZURU标准版执行即可
5、ZURU OQC验货</t>
  </si>
  <si>
    <t>KAUFHAUS MARTIN STOLZ GMBH</t>
  </si>
  <si>
    <t>26-128</t>
  </si>
  <si>
    <t>4500189254-40</t>
  </si>
  <si>
    <t>DE IT警语贴纸（翻4500187019）</t>
  </si>
  <si>
    <r>
      <rPr>
        <sz val="12"/>
        <rFont val="宋体"/>
        <charset val="134"/>
        <scheme val="minor"/>
      </rPr>
      <t>日期码格式：ZURU INC(BVI) 标准格式 日期：按实际生产日期
Packaging Info:
此单有客供价格贴纸，预计1/2前提供
77770GQ1：最新MA 3L EAN收缩膜+DE IT警语贴纸</t>
    </r>
    <r>
      <rPr>
        <sz val="12"/>
        <color rgb="FFFF0000"/>
        <rFont val="宋体"/>
        <charset val="134"/>
        <scheme val="minor"/>
      </rPr>
      <t>（翻4500187019）</t>
    </r>
    <r>
      <rPr>
        <sz val="12"/>
        <rFont val="宋体"/>
        <charset val="134"/>
        <scheme val="minor"/>
      </rPr>
      <t>，MA 5L收藏指南，MA纸袋，MA 3L PDQ
Remark: 1.此单出德国，需要满足Zuru Standard欧洲标准测试要求；微塑料需符合法规；化学品无硼无香；电池符合欧洲法规要求(如有)。所有包装警语部分需含德语警语
。
2.请准时完货，推期会有罚款。请验货后马上上传验货报告和图片，需提供ZURU标准验货报告和验货图片给客人确认后才可以安排出货。
3.所有出往GAS市场(德国/奥地利/瑞士)的电子产品身上需要加字唛，为ZURU FRANCE 地址，需跟包装上的地址一致 （如该电子产品无法打上字唛但是可以在产品上
加贴纸，需让对应跟单提供产品贴纸资料。如无电子产品；或产品布标有此地址；或产品太小既无法增加字唛也无法加上贴纸，可忽略此信息。）
新地址：ZURU France 33 rue Paul Meurice 75020 Paris, France
旧地址：ZURU France 1/3, Rue d'Argenteuil 95210 SAINT-GRATIEN, FRANCE
4.所有出往德国订单的电子产品需增加一张客版WEEE声明说明书，区分带电池和不带电池版本, 如已做客版说明书可忽略此要求。
5.大货样品一套
6.STD配比</t>
    </r>
  </si>
  <si>
    <t>MCD BRANDS SAS</t>
  </si>
  <si>
    <t>乌拉圭</t>
  </si>
  <si>
    <t>4500188881-60</t>
  </si>
  <si>
    <t>进口商贴纸+条码贴纸</t>
  </si>
  <si>
    <t>日期码格式：ZURU INC(BVI) 标准格式 日期：按实际生产日期
Packaging Info: 
其余item：MA 多语包装+进口商贴纸+条码贴纸+箱唛
Remark: 进口商贴纸请多备料5pcs,出货后需要寄给客户</t>
  </si>
  <si>
    <t>NASA PANAMA</t>
  </si>
  <si>
    <t>巴拿马</t>
  </si>
  <si>
    <t>4500190234-50</t>
  </si>
  <si>
    <t>请确保包装上的条形码是UPC，如果是babyUPC、需要用mother UPC覆盖</t>
  </si>
  <si>
    <t xml:space="preserve">日期码格式：ZURU INC(BVI) 标准格式 日期：按实际生产日期
Packaging Info: 1.优先多语 MA UPC或者3L/5L MA EAN 包装
2.请确保包装上的条形码是UPC，如果是babyUPC、需要用mother UPC覆盖，如有不一致，请及时提出。谢谢!
Remark: </t>
  </si>
  <si>
    <t>Aimee Huang</t>
  </si>
  <si>
    <t>4500189691-60</t>
  </si>
  <si>
    <t>UPC贴纸</t>
  </si>
  <si>
    <t>日期码格式：ZURU INC(BVI) 标准格式 日期：按实际生产日期
Packaging Info: 请确保包装上的条形码是UPC，如果是babyUPC，需要用mother UPC覆盖，如有不一致，请及时提出。谢谢!
77770GQ2,,MA 多语EAN包装+UPC贴纸+MA多语收藏指南+MA PDQ+箱唛,,
Remark: 
Common: Equal ratio,,</t>
  </si>
  <si>
    <t>4500189203-30</t>
  </si>
  <si>
    <t>日期码格式：ZURU INC(BVI) 标准格式 日期：按实际生产日期
Packaging Info: 请确保包装上的条形码是UPC，如果是babyUPC，需要用mother UPC覆盖，如有不一致，请及时提出。谢谢!
77770GQ2,,MA 多语EAN包装+UPC贴纸+MA多语收藏指南+MA PDQ+箱唛,,
Remark: 
Common: Equal ratio</t>
  </si>
  <si>
    <t>4500188248-90</t>
  </si>
  <si>
    <r>
      <rPr>
        <sz val="12"/>
        <rFont val="宋体"/>
        <charset val="134"/>
        <scheme val="minor"/>
      </rPr>
      <t xml:space="preserve">日期码格式：ZURU INC(BVI) 标准格式 日期：按实际生产日期
Packaging Info: 请确保包装上的条形码是UPC，如果是babyUPC，需要用mother UPC覆盖，如有不一致，请及时提出。谢谢!
</t>
    </r>
    <r>
      <rPr>
        <sz val="12"/>
        <color rgb="FFFF0000"/>
        <rFont val="宋体"/>
        <charset val="134"/>
        <scheme val="minor"/>
      </rPr>
      <t>77555GQ2,,MA 多语EAN包装+UPC贴纸+MA 多语收藏指南+MA多语PDQ+箱唛,,</t>
    </r>
    <r>
      <rPr>
        <sz val="12"/>
        <rFont val="宋体"/>
        <charset val="134"/>
        <scheme val="minor"/>
      </rPr>
      <t xml:space="preserve">
Remark: </t>
    </r>
  </si>
  <si>
    <t>4500188307-70</t>
  </si>
  <si>
    <t>如果是EAN条码请用UPC 贴纸覆盖</t>
  </si>
  <si>
    <t>日期码格式：ZURU INC(BVI) 标准格式 日期：按实际生产日期
Packaging Info: 1.请确保包装上的条形码是UPC，如果是babyUPC，需要用mother UPC覆盖，如有不一致，请及时提出。谢谢!
2. 包材请按照ZURU MA 生产 +语言必须含有西语+箱唛
3. 如果是EAN条码请用UPC 贴纸覆盖
Remark:</t>
  </si>
  <si>
    <t>CMS FAMOUS TOYS</t>
  </si>
  <si>
    <t>PO0001591</t>
  </si>
  <si>
    <t>4500189941-100</t>
  </si>
  <si>
    <t>进口商贴纸加UPC贴纸</t>
  </si>
  <si>
    <r>
      <rPr>
        <sz val="12"/>
        <rFont val="宋体"/>
        <charset val="134"/>
        <scheme val="minor"/>
      </rPr>
      <t xml:space="preserve">日期码格式：ZURU INC(BVI) 标准格式 日期：按实际生产日期
Packaging Info: </t>
    </r>
    <r>
      <rPr>
        <sz val="12"/>
        <color rgb="FFFF0000"/>
        <rFont val="宋体"/>
        <charset val="134"/>
        <scheme val="minor"/>
      </rPr>
      <t>出加拿大
每款产品都需要加进口商贴纸
Zuru验货.日期跟踪码：产品外包装及产品本身都必须有日期跟踪码，ZURU标准格式日期码</t>
    </r>
    <r>
      <rPr>
        <sz val="12"/>
        <rFont val="宋体"/>
        <charset val="134"/>
        <scheme val="minor"/>
      </rPr>
      <t xml:space="preserve">
Remark:
77770GQ1： MA 3L 加UPC贴纸</t>
    </r>
  </si>
  <si>
    <t>Bella Tan</t>
  </si>
  <si>
    <t>ARCHIBRAND, S.A. DE C.V.</t>
  </si>
  <si>
    <t>4500190045-130</t>
  </si>
  <si>
    <t>UPC贴纸+进口商贴纸</t>
  </si>
  <si>
    <t xml:space="preserve">日期码格式：ZURU INC(BVI) 标准格式 日期：按实际生产日期
Packaging Info: 
13. 77770GQ2：MA 3L EAN包装+UPC贴纸+MA 多语收藏指南+MA 3L PDQ包装+进口商贴纸+箱唛
所有带电产品的保证书是通用的
Remark: </t>
  </si>
  <si>
    <t>TIENDAS CHEDRAUI, S.A. DE C.V.</t>
  </si>
  <si>
    <t>4500190462-80</t>
  </si>
  <si>
    <t>纸箱消耗4500184412和4500184413</t>
  </si>
  <si>
    <t>说明书贴纸</t>
  </si>
  <si>
    <t xml:space="preserve">日期码格式：ZURU INC(BVI) 标准格式 日期：按实际生产日期
Packaging Info: 1. 优先多语 MA UPC或者3L/5L MA EAN 包装+进口商贴纸
2. 带有说明书需要说明书贴纸
3. 不带电只有一个贴纸贴在包装上,带电产品会有两个贴纸，分别贴到产品电池门+包装+一张保证书
5. 请确保包装上的条形码是UPC，如果是babyUPC、需要用mother UPC覆盖，如有不一致，请及时提出。谢谢
Remark: </t>
  </si>
  <si>
    <t xml:space="preserve">OK </t>
  </si>
  <si>
    <t>0938210390</t>
  </si>
  <si>
    <t>4500189982-60</t>
  </si>
  <si>
    <t>BV2/5</t>
  </si>
  <si>
    <t>外箱印刷带条码的RFID箱唛：RFID紫色色带+WM Dept.图标+RFID图标+ITF-14条码，四面右下角印刷ZURU logo, ITFF条码只印刷在正唛一面，在加印的时候确保
 条形码能扫描出来，外箱侧面任一角落加印："MADE IN CHINA" 字样；</t>
  </si>
  <si>
    <t>RFID贴纸</t>
  </si>
  <si>
    <t>日期码格式：ZURU DGYYYYMMDD CHINA(日期避开周末和法定节假日即可） 日期：按实际生产日期
Packaging Info: 77770
1. 包装要求：
77770：MA 1L A版收缩膜+MA 5L A版收藏指南+MA A版纸袋+客版 1L A版PDQ，翻单：4500177086
每pcs产品要贴一张RFID贴纸，RFID贴纸由ZURU提供，贴纸位置要严格按照客人签板
Remark: 77770/77773
1. 包装要求：
77770：MA 1L A版收缩膜+MA 5L A版收藏指南+MA A版纸袋+客版 1L A版PDQ，翻单：4500177086
每pcs产品要贴一张RFID贴纸，RFID贴纸由ZURU提供，贴纸位置要严格按照客人签板
2. 外箱印刷带条码的RFID箱唛：RFID紫色色带+WM Dept.图标+RFID图标+ITF-14条码，四面右下角印刷ZURU logo, ITFF条码只印刷在正唛一面，在加印的时候确保
条形码能扫描出来，外箱侧面任一角落加印："MADE IN CHINA" 字样；
3. 在产品上和包装上要有日期码、以及要有MADE IN CHINA和ZURU字样；
4. 产品如有扎带口要剪平，不能刮手。
5. 此单需要验货，请多备料
6. 此单以loose carton出货，16pcs/PDQ/CTN</t>
  </si>
  <si>
    <t>0938210399</t>
  </si>
  <si>
    <t>4500189982-70</t>
  </si>
  <si>
    <t>2/9 BV验货</t>
  </si>
  <si>
    <t>0938210415</t>
  </si>
  <si>
    <t>4500189982-80</t>
  </si>
  <si>
    <t>0938210430</t>
  </si>
  <si>
    <t>4500189982-90</t>
  </si>
  <si>
    <t>2/6 BV验货</t>
  </si>
  <si>
    <t>0938210466</t>
  </si>
  <si>
    <t>4500189982-100</t>
  </si>
  <si>
    <t>0938210412</t>
  </si>
  <si>
    <t>4500189983-30</t>
  </si>
  <si>
    <t>2/25 BV验货</t>
  </si>
  <si>
    <t>Amazon UK:
6OAN6JZC</t>
  </si>
  <si>
    <t>4500189248-130</t>
  </si>
  <si>
    <t>.空白外箱（加印带Zuru字样的最新logo，除了邮包盒直接做外箱的产品）</t>
  </si>
  <si>
    <t>SSCC LABEL一张</t>
  </si>
  <si>
    <t>日期码格式：ZURU INC(BVI) 标准格式 日期：按实际生产日期
Packaging Info: Amazon UK(15728AG/77806/71152/77731)/DE(15710B)/ES(15726A/15728E/77731/71152/15714D/15710B/9565ABD)/IT(15726K/9565ABD)
2. 77806: 2PK#77770 in PVC TUBE,12tubes/ctn; 客版 3L(3L warning no barcode)A收缩膜(参考Amazon US翻单PO#4500179751)+MA 5L(23L warning)A收藏指南+M
A其他最新配套包装+客版3L(5L warning)A PVC彩卡(参考Amazon US翻单PO#4500179751)+1张贴纸(IT环保标, 参考翻单PO#4500181154)；
9. 验货时间不迟于2026/2/27.
Remark: "1.空白外箱（加印带Zuru字样的最新logo，除了邮包盒直接做外箱的产品） + SSCC LABEL一张, 无箱唛，MADE IN CHINA 外箱只印一正一侧。箱唛资料按照给定的
标准去做即可，无需发回我方再行审批(新标准将另行通知)。
(SSCC LABEL竖贴在外箱正面的正中间，贴一面即可,贴纸离外箱边距必须至少3.2CM。如竖贴无法满足要求，则横贴。如横贴也无法满足要求，则竖贴，遮到ZURU lo
go无影响), SSCC贴纸由工厂直接跟勤得采购或者工厂自行采购，每一张SSCC Label都是唯一且有不同流水及条码，且需要检查条码是否能正常扫描，另外，此贴纸
印刷不可出现模糊，溢出及粘胶不牢易脱落等现象，如工厂不按此要求导致贴纸有任何问题产生的罚款将由工厂承担一切责任 。
2.出往UK的产品+包装务必打上UKCA logo ，否则客人会退货且当地会有罚款。
3.订单必须经过ZURU QC验货或者工厂自检通过后方可出货，不涉及第三方验货。
4.法国订单要求包装不使用矿物油，请按要求提供以下其中一份文件再出货 ，产品出到法国被相关部门抽检出现包装不符合此要求的，供应商需要为此承担责任，
故此请严格把关。
-油墨物质""""由1 ~ 7个芳香环组成的MOAH""""的包装检测报告，要求限值≤1.0%；
-包装材料清单，包括包装油墨或物质的信息；
-油墨制造商的证书；
5.每一批次出货只能有一个生产日期，不可多个生产日期混在同一批次出货；且零售包装上必须统一加上日期码；外箱对于日期码没有硬性规定；
6.涉及到相关款式会有闪粉的或者微塑料的，请统一默认出无闪粉或者不含微塑料版本；
7.邮包盒及外箱封箱必须是工字型封箱方式；
8.5 Surprise or Mini Brands涉及包装是2个及2个以上的球入PVC桶包装时，单个球上若有UPC#或者EAN#，请用空白贴纸覆盖住，贴纸尺寸自行测量能覆盖原条码即
可；
9. 无论是工厂自检还是ZURU验货，验货报告中必须有产品6面图(正面/背面/左面/右面/顶部/底部，不带包装);
10. 按空海运鉴定报告的要求，只要带锂电池出货，都需要加贴UN贴纸；
11. 所有出往GAS市场(德国/奥地利/瑞士)的电子产品身上需要加字唛，为ZURU FRANCE 地址，需跟包装上的地址一致 (如无电子产品，产品布标有此地址，或产品
太小无法增加可忽略此信息。如产品无法加字唛，需让对应跟单提供产品贴纸资料);
12. 所有出往GAS德国 (瑞士，奥地利)。水弹枪系列必须使用EN71版本（电子和非电子水弹枪系列都需要符合); 护目镜需打日期码, 格式跟ZURU标准格式一样; 枪
身上增加ZURU FRANCE公司名和地址。使用贴纸和辐射上去都可以。如果有位置，最好增加ZURU Represented by: (此最好翻译德语，如果位置不允许，那么就只增
加ZURU法国和地址)。使用最新的EN71版包装和说明书）.</t>
  </si>
  <si>
    <t>0938210425</t>
  </si>
  <si>
    <t>4500189985-40</t>
  </si>
  <si>
    <t>2/28 BV验货</t>
  </si>
  <si>
    <t>0938210458</t>
  </si>
  <si>
    <t>4500189985-50</t>
  </si>
  <si>
    <t>4500188871-40</t>
  </si>
  <si>
    <t>1张防盗贴纸</t>
  </si>
  <si>
    <t>日期码格式：ZURU INC(BVI) 标准格式 日期：按实际生产日期
Packaging Info:
77770GQ1:MA英语UPC版本包装（收缩膜和说明书, MA首选1L，如无1L可用多语且含英语的配套多语包装) + 1张防盗贴纸+箱唛 + 外箱SSCC Label
(贴纸以及位置图翻单PO#4500173688）
其他款：MA说明书+1张说明书纽扣电池警告语贴纸+ 1张收缩膜纽扣电池警告语贴纸
Remark: 1.请务必按时完货，验货。并且按期送货入货代指定仓库，如果晚了导致船期Delay将会有罚金产生或者客户要求空运，所产生的罚金和空运费由工厂承担。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外箱贴纸请同纸箱瓦楞纸方向（竖纹向）垂直，即外箱贴纸横着贴(注意条码不要被胶带粘住），贴1pc，贴1面正唛，封箱胶纸不能挡住贴纸内容。外箱贴纸
离外箱边距离不少于2cm。
3.外箱材质为ZURU标准；
4.此单需使用KMART封箱胶上下工字型封箱;从2019年6月开始，要用KMART 新版封箱胶带，此单要用"ANKO"封箱胶带
5.此单出口澳大利亚，请按相应的澳新标准生产；
6.产品和包装上生产批号的显示格式ZURU标准日期码格式
7.外箱信息不可手写，重量和体积需要与实际的一致(不可手写）
8. 每款item装箱后的G.W.超过10KG或者CBM超过0.13,(9.5KG或者以上，四舍五入后也属于10KG) 需在外箱上加印超 重或者Bulky LOGO，若发现我们资料没有，请
帮忙提醒
1)重量超过10kg但不超过16kg且CBM不超过0.13,10-16kg 超重logo
2）CBM超过0.13且重量少于17kg，bulky logo
3）不属于以上两种情况，需要使用相应重量范围内的超重logo
4）超重logo需要在外箱四面都印刷(箱唛右上角，两面侧唛超重logo需要尽量靠近毛重)，尺寸为:110mm height* 95mm width
9. 实际外箱重量跟印在箱唛上的数据差异不能超3%，尺寸按实际数据印刷
请注意此订单与NZ PO#4500188875一起合并计算</t>
  </si>
  <si>
    <t>Louise Lu</t>
  </si>
  <si>
    <t>SUBURBIA S DE R. L. DE C. V.</t>
  </si>
  <si>
    <t>4500186204-30</t>
  </si>
  <si>
    <t>UPC贴纸+进口商贴纸+价标贴纸</t>
  </si>
  <si>
    <t>日期码格式：ZURU INC(BVI) 标准格式 日期：按实际生产日期
Packaging Info: 
77770GQ2 MA 3L EAN 包装+UPC贴纸+MA PDQ +MA 多语收藏指南+进口商贴纸+价标贴纸,,
Remark: 1.外箱只需四面印Zurulogo，再加2张贴纸，1张mu贴纸(条码贴)，1张ASN贴纸(尺寸6.5cm*6.3cm
潘通色号2597C)，都贴于侧唛，只需贴1面(HU贴纸和ASN贴纸客供)
2.一个外箱对应一个H’S(条形码)不可以混条码包装
3.含有说明书需要增加说明书贴纸
4.价格贴纸覆盖原有包装的条形码
5. 此单有监柜要求，需要每款多准备一套完整物料，用于监柜，不可以随大货走
6. 请确保包装上的条形码是UPC，如果是babyUPC，需要用mother UPC覆盖，如有不一致，请及时提出。谢谢</t>
  </si>
  <si>
    <t>0938210414</t>
  </si>
  <si>
    <t>4500190002-10</t>
  </si>
  <si>
    <t>3/6 BV验货</t>
  </si>
  <si>
    <t>0938210431</t>
  </si>
  <si>
    <t>4500190002-20</t>
  </si>
  <si>
    <t>0938210520</t>
  </si>
  <si>
    <t>4500190002-30</t>
  </si>
  <si>
    <t>4500191164-20</t>
  </si>
  <si>
    <t>77806-S001-MTS</t>
  </si>
  <si>
    <t>空白贴纸，空白贴纸和3L铜版纸翻单4500179751</t>
  </si>
  <si>
    <t>日期码格式：ZURU INC(BVI) 标准格式 日期：按实际生产日期
Packaging Info:
#77806: 2PK STD #77770入PVC筒,MA 1L UPC版本+空白贴纸，空白贴纸和3L铜版纸翻单4500179751。收藏指南和说明书为MA版本。（两个球的配比不能重复）。
Remark: 1.Amazon domestic 订单。出口美国。外箱最长边不能超过25" （超过了，case pack只能为1），不符合要求的大货，一律不接受。
2.无第三方验货/测试要求。
3.日期码使用ZURU标准版本。
4.如果大货有要求入邮包盒，则对应的邮包盒上面要打上日期码。</t>
  </si>
  <si>
    <t>SD24</t>
  </si>
  <si>
    <t>8PVERA6H</t>
  </si>
  <si>
    <t>4500191631-40</t>
  </si>
  <si>
    <t>空白贴纸和3L铜版纸翻单4500179751 欠外箱贴纸</t>
  </si>
  <si>
    <t>日期码格式：ZURU INC(BVI) 标准格式 日期：按实际生产日期
Packaging Info:
#77806: 2PK STD #77770入PVC筒,MA 1L UPC版本+空白贴纸，空白贴纸和3L铜版纸翻单4500179751。收藏指南和说明书为MA版本。（两个球的配比不能重复）。
Remark: 1. Amazon MDDP订单，出口US。
2. 日期码使用ZURU标准版本。
3. 如果大货有要求入邮包盒，则对应的邮包盒上面要打上日期码。
4. 箱尺寸要求：外箱最长边不能超过25"(超过了，case pack只能为1)，不符合要求的大货，一律不接受。
5. 外箱箱唛要求：
①外箱正面印ZURU Logo+SSCC Label(客供贴纸，由跟单订购)。关于 SSCC Label 请注意：
SSCC Label显示的是客人自己的item#。每一张SSCC label都是唯一且有不同流水及条码的，没有损耗，绝对不可贴错。如果贴错或损坏任何一张，都会导致全部都
错，千万要注意！SSCC Label必须贴在外箱正面的正中间位置(贴一面即可)，并且贴纸离外箱边距必须至少3cm(可以覆盖Logo&lt;(&gt;&amp;&lt;)&gt;箱唛)，否则会影响到客户那边
仓库的扫描识别。
②外箱侧面印item#(订单上显示的SKU#)+carton size(以工厂实际尺寸为准，单位: inch)+MADE IN CHINA，日期使用ZURU 标准版本。
6. 装柜要求：按照客户PO#装柜/箱号顺序装柜，跟单会提前给到装柜计划。
在大货生产/仓库存放时，请留意该装柜要求，以便装柜时不混乱(避免装错/装漏/找不到货号等)。</t>
  </si>
  <si>
    <t>5IMAAIFU</t>
  </si>
  <si>
    <t>4500191202-280</t>
  </si>
  <si>
    <t>日期码格式：ZURU INC(BVI) 标准格式 日期：按实际生产日期
Packaging Info:
#77806: 2PK STD #77770入PVC筒,MA 3L 版收缩膜+空白贴纸和客版3L铜版纸资料跟翻单#4500179751。收藏指南和说明书为MA版本。（两个球的配比不能重复）。
Remark: 1. Amazon FOB订单，出口CA。外箱最长边不能超过25" （超过了，case pack只能为1），不符合要求的大货，一律不接受。
2. 外箱正面印ZURU Logo + SSCC LABEL（客供贴纸)，侧面印item#（订单上显示的SKU#) + carton size(以工厂实际尺寸为准，单位: inch) + MADE IN CHINA，
日期使用ZURU 标准版本 SSCC Label 显示的是客人自己的item#，SSCC Label 贴在外箱正面的正中间，贴一面即可，跟单订购，贴纸离外箱距必须至少3cm，每一
张SSCC label 都是唯一且有不同流水及条码的，没有损耗，绝对不可贴错 ，否则贴错或损坏一张会导致全部都错，千万要注意: SSCC 贴纸务必要在正中间(可以覆
盖Logo &lt;(&gt;&amp;&lt;)&gt; 箱唛)，否则会影响到仓库扫描识别。
3. 日期码使用ZURU标准版本。
4. 如果大货有要求入邮包盒，则对应的邮包盒上面要打上日期码。
5. 按照客户PO# 装柜/箱号顺序装柜，跟单会提前给到装柜计划。在大货生产/仓库存放时，请留意该装柜要求，以便装柜时不混乱（避免装错/装漏/找不到货号等
）。
6. 出口加拿大，包装需要至少2/3L UPC版，无硼版本。
7.邮包盒上要印刷日期码</t>
  </si>
  <si>
    <t>3U6RBDXB</t>
  </si>
  <si>
    <t>4500191202-290</t>
  </si>
  <si>
    <t>8J1Q1ZRZ</t>
  </si>
  <si>
    <t>4500191202-300</t>
  </si>
  <si>
    <t>0938210429</t>
  </si>
  <si>
    <t>4500190004-10</t>
  </si>
  <si>
    <t>0938210452</t>
  </si>
  <si>
    <t>4500190004-20</t>
  </si>
  <si>
    <t>0938210456</t>
  </si>
  <si>
    <t>4500190004-30</t>
  </si>
  <si>
    <t>0938210532</t>
  </si>
  <si>
    <t>4500190004-40</t>
  </si>
  <si>
    <t>4500190876-10</t>
  </si>
  <si>
    <t>此单消耗PO#4500182440外箱29个(外箱请打最新的日期码)</t>
  </si>
  <si>
    <t>1张进口商贴纸； 贴纸及位置图翻单#4500181756</t>
  </si>
  <si>
    <t>日期码格式：ZURU INC(BVI) 标准格式 日期：按实际生产日期
Packaging Info: 1. 包装
77770GQ1：英文MA包装 (UPC版本，首选1L，无1L可用多L含英语)+1张进口商贴纸； 贴纸及位置图翻单#4500181756
2. 产品和包装上的日期码一致，请按要求在包装上打日期码（进口商贴纸不覆盖日期码）
3. 使用ZURU标准日期码
Remark: 1. 共出4港口 (SYD, BNE, MEL, FRE)，不同港口数量信息请见订单行项目，并请参考箱唛资料，港口不同，箱唛资料也不同；
2. 箱唛不可出现任何手写内容（箱数除外），重量与实际一致且不可手写；
3. 此单出澳大利亚，请按澳洲标准生产并满足当地法规要求；
4. 出无闪粉版本，需符合欧洲微塑料法规；
5. 确保所出货的产品及包装不含PFAS（全氟/多氟烷基化合物）及其盐类和其相关物质，特别留意 PFOA、PFOS、PFHxS 不得检出。</t>
  </si>
  <si>
    <t>4500190876-20</t>
  </si>
  <si>
    <t>4500190876-30</t>
  </si>
  <si>
    <t>4500190876-40</t>
  </si>
  <si>
    <t>CARLOS FEDERSPIEL &amp; CIA. - UNIVERSA</t>
  </si>
  <si>
    <t>4500191577-90</t>
  </si>
  <si>
    <t>日期码格式：ZURU INC(BVI) 标准格式 日期：按实际生产日期
Packaging Info: 
其余item：MA 多语 包装+进口商贴纸+UPC贴纸+箱唛
Remark:</t>
  </si>
  <si>
    <t>56FDKGHU</t>
  </si>
  <si>
    <t>4500191855-40</t>
  </si>
  <si>
    <t>欠外箱贴纸</t>
  </si>
  <si>
    <t>日期码格式：ZURU INC(BVI) 标准格式 日期：按实际生产日期
Packaging Info:
Amazon DE:56FDKGHU
AmazonDE(77806)
6. 77806:2PK#77770 in PVC TUBE,12tubes/ctn; 客版 3L(3L warning no barcode)A收缩膜(参考Amazon US翻单PO#4500179751)+MA 5L(23L warning)A收藏指南+MA
其他最新配套包装+客版3L(5L warning)A PVC彩卡(参考Amazon US翻单PO#4500179751)+1张贴纸(IT环保标, 参考翻单PO#4500181154)；
12. 验货时间不迟于2026/3/23.
Remark: 1.空白外箱（加印带Zuru字样的最新logo，除了邮包盒直接做外箱的产品） + SSCC LABEL一张, 无箱唛，MADE IN CHINA 外箱只印一正一侧。箱唛资料按照给定的
标准去做即可，无需发回我方再行审批(新标准将另行通知)。
(SSCC LABEL竖贴在外箱正面的正中间，贴一面即可,贴纸离外箱边距必须至少3.2CM。如竖贴无法满足要求，则横贴。如横贴也无法满足要求，则竖贴，遮到ZURU lo
go无影响), SSCC贴纸由工厂直接跟勤得采购或者工厂自行采购，每一张SSCC Label都是唯一且有不同流水及条码，且需要检查条码是否能正常扫描，另外，此贴纸
印刷不可出现模糊，溢出及粘胶不牢易脱落等现象，如工厂不按此要求导致贴纸有任何问题产生的罚款将由工厂承担一切责任 ,&lt;(&gt;,&lt;)&gt; 此要求只适用Amazon UK/DE
/FR/ES/IT,不适用Amazon GPE，Amazon GPE无SSCC label, 但是有对应箱唛，需印刷到外箱 。
2.出往UK的产品+包装务必打上UKCA logo ，否则客人会退货且当地会有罚款。
3.订单必须经过ZURU QC验货或者工厂自检通过后方可出货，不涉及第三方验货。
4.法国订单要求包装不使用矿物油，请按要求提供以下其中一份文件再出货 ，产品出到法国被相关部门抽检出现包装不符合此要求的，供应商需要为此承担责任，
故此请严格把关。
-油墨物质""""由1 ~ 7个芳香环组成的MOAH""""的包装检测报告，要求限值≤1.0%；
-包装材料清单，包括包装油墨或物质的信息；
-油墨制造商的证书；
5.每一批次出货只能有一个生产日期，不可多个生产日期混在同一批次出货；且零售包装上必须统一加上日期码；外箱对于日期码没有硬性规定；
6.涉及到相关款式会有闪粉的或者微塑料的，请统一默认出无闪粉或者不含微塑料版本；
7.邮包盒及外箱封箱必须是工字型封箱方式；
8.5 Surprise or Mini Brands涉及包装是2个及2个以上的球入PVC桶包装时，单个球上若有UPC#或者EAN#，请用空白贴纸覆盖住，贴纸尺寸自行测量能覆盖原条码即
可；
9. 无论是工厂自检还是ZURU验货，验货报告中必须有产品6面图(正面/背面/左面/右面/顶部/底部，不带包装);
10. 按空海运鉴定报告的要求，只要带锂电池出货，都需要加贴UN贴纸；
11. 所有出往GAS市场(德国/奥地利/瑞士)的电子产品身上需要加字唛，为ZURU FRANCE 地址，需跟包装上的地址一致 (如无电子产品，产品布标有此地址，或产品
太小无法增加可忽略此信息。如产品无法加字唛，需让对应跟单提供产品贴纸资料);
12. 所有出往GAS德国 (瑞士，奥地利)。水弹枪系列必须使用EN71版本（电子和非电子水弹枪系列都需要符合); 护目镜需打日期码, 格式跟ZURU标准格式一样; 枪
身上增加ZURU FRANCE公司名和地址。使用贴纸和辐射上去都可以。如果有位置，最好增加ZURU Represented by: (此最好翻译德语，如果位置不允许，那么就只增
加ZURU法国和地址)。使用最新的EN71版包装和说明书）</t>
  </si>
  <si>
    <t>0938210464</t>
  </si>
  <si>
    <t>4500190006-10</t>
  </si>
  <si>
    <t>3/20 BV验货</t>
  </si>
  <si>
    <t>0938210509</t>
  </si>
  <si>
    <t>4500190006-20</t>
  </si>
  <si>
    <t>3/18 BV验货</t>
  </si>
  <si>
    <t>0978314732</t>
  </si>
  <si>
    <t>4500193218-10</t>
  </si>
  <si>
    <t>0978314726</t>
  </si>
  <si>
    <t>4500193218-20</t>
  </si>
  <si>
    <t>0978314729</t>
  </si>
  <si>
    <t>4500193218-30</t>
  </si>
  <si>
    <t>0978314731</t>
  </si>
  <si>
    <t>4500193218-40</t>
  </si>
  <si>
    <t>0978314721</t>
  </si>
  <si>
    <t>4500193218-50</t>
  </si>
  <si>
    <t>0978314725</t>
  </si>
  <si>
    <t>4500193218-60</t>
  </si>
  <si>
    <t>0978314718</t>
  </si>
  <si>
    <t>4500193218-70</t>
  </si>
  <si>
    <t>4500192690-10</t>
  </si>
  <si>
    <r>
      <t xml:space="preserve">日期码格式：ZURU INC(BVI) 标准格式 日期：按实际生产日期
Packaging Info: 77770GQ1:MA英语UPC版本包装（收缩膜和说明书, MA首选1L，如无1L可用多语且含英语的配套多语包装) + 1张防盗贴纸+箱唛 + 外箱SSCC Label
(贴纸以及位置图翻单PO#4500173688）
Remark: 1.请务必按时完货，验货。并且按期送货入货代指定仓库，如果晚了导致船期Delay将会有罚金产生或者客户要求空运，所产生的罚金和空运费由工厂承担。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外箱贴纸请同纸箱瓦楞纸方向（竖纹向）垂直，即外箱贴纸横着贴(注意条码不要被胶带粘住），贴1pc，贴1面正唛，封箱胶纸不能挡住贴纸内容。外箱贴纸
离外箱边距离不少于2cm。
3.外箱材质为ZURU标准；
4.此单需使用KMART封箱胶上下工字型封箱;从2019年6月开始，要用KMART 新版封箱胶带，此单要用"ANKO"封箱胶带
5.此单出口澳大利亚，请按相应的澳新标准生产；
6.产品和包装上生产批号的显示格式ZURU标准日期码格式
7.外箱信息不可手写，重量和体积需要与实际的一致(不可手写）
8. 每款item装箱后的G.W.超过10KG或者CBM超过0.13,(9.5KG或者以上，四舍五入后也属于10KG) 需在外箱上加印超 重或者Bulky LOGO，若发现我们资料没有，请
帮忙提醒
1)重量超过10kg但不超过16kg且CBM不超过0.13,10-16kg 超重logo
2）CBM超过0.13且重量少于17kg，bulky logo
3）不属于以上两种情况，需要使用相应重量范围内的超重logo
4）超重logo需要在外箱四面都印刷(箱唛右上角，两面侧唛超重logo需要尽量靠近毛重)，尺寸为:110mm height* 95mm width
9. 实际外箱重量跟印在箱唛上的数据差异不能超3%，尺寸按实际数据印刷
</t>
    </r>
    <r>
      <rPr>
        <sz val="12"/>
        <color rgb="FFFF0000"/>
        <rFont val="宋体"/>
        <charset val="134"/>
        <scheme val="minor"/>
      </rPr>
      <t>请注意此订单与NZ PO#4500193942一起合并计算，另外9574实际上走LCL出货</t>
    </r>
  </si>
  <si>
    <t>MINISO TRADING CANADA INC.</t>
  </si>
  <si>
    <t>4500191753-40</t>
  </si>
  <si>
    <t>欠PDQ条码贴纸</t>
  </si>
  <si>
    <t>日期码格式：ZURU INC(BVI) 标准格式 日期：按实际生产日期
Packaging Info: 1. 包装方式：MA UPC 3L 最新包装，出口加拿大
2. 产品和包装上印刷tracking code信息，格式为ZURU常规；
3. ZURU QC 验货合格后即可出货.
Remark: 
7. 77770GQ2-S002 PDQ上需要贴一张UPC 条码贴纸,UPC显示：193052089465，贴纸AW跟单提供，工厂自行采购.</t>
  </si>
  <si>
    <t>Iris Yuan</t>
  </si>
  <si>
    <t>0938210436</t>
  </si>
  <si>
    <t>4500192878-60</t>
  </si>
  <si>
    <t>0938210440</t>
  </si>
  <si>
    <t>4500192878-70</t>
  </si>
  <si>
    <t>0938210479</t>
  </si>
  <si>
    <t>4500192878-80</t>
  </si>
  <si>
    <t>4500192878-90</t>
  </si>
  <si>
    <t>0938210499</t>
  </si>
  <si>
    <t>4500192878-100</t>
  </si>
  <si>
    <t>4500192794-10</t>
  </si>
  <si>
    <t>日期码格式：ZURU INC(BVI) 标准格式 日期：
Packaging Info: 1. 产品MA UPC包装（优先1L）出美国
2. 客人指定箱唛排版
Remark: 出货前 Zuru QC 验货</t>
  </si>
  <si>
    <t>4500192794-20</t>
  </si>
  <si>
    <t>0979604355</t>
  </si>
  <si>
    <t>4500193953-10</t>
  </si>
  <si>
    <t>0979604357</t>
  </si>
  <si>
    <t>4500193953-20</t>
  </si>
  <si>
    <t>0979604359</t>
  </si>
  <si>
    <t>4500193953-30</t>
  </si>
  <si>
    <t>0979604360</t>
  </si>
  <si>
    <t>4500193953-40</t>
  </si>
  <si>
    <t>0979604364</t>
  </si>
  <si>
    <t>4500193953-50</t>
  </si>
  <si>
    <t>0979604373</t>
  </si>
  <si>
    <t>4500193953-60</t>
  </si>
  <si>
    <t>0979604548</t>
  </si>
  <si>
    <t>4500193953-70</t>
  </si>
  <si>
    <t>4500192252-170</t>
  </si>
  <si>
    <t>翻单： 4500180429</t>
  </si>
  <si>
    <t>收缩膜年龄贴（8+）翻单： 4500180429</t>
  </si>
  <si>
    <t>日期码格式：ZURU INC(BVI) 标准格式 日期：按实际生产日期
Packaging Info: 物料要求 SKU
7 77770GQ1 MA PDQ +外挂中文收藏指南+ 收缩膜年龄贴（8+） 翻单： 4500180429
Remark: 2.外箱材质如下：
1）毛重小于5kg 外箱纸质 K=B 爆破:1000Kpa 边压:4400N/M;
2）毛重大于5kg 外箱纸质 K636K 爆破:1400Kpa 边压:6300N/M;
3. 产品/销售包装/外箱日期码要一致，
4.此产品务必满足国内6P 测试标准，因为可能会被市场监督局抽查，如有问题产生，工厂要负全责
5. 这张订单做出厂价，我司自行安排车辆去贵司提货，贵司需要配合提供出口报关
6. 此单所有产品启用防窜码贴纸 :芯片码订单 除外
7.芯片码横向平贴在上半部分蛋壳/彩盒内侧立面处，注意事项请见跟单提供文档资料。</t>
  </si>
  <si>
    <t>2VYARP1M</t>
  </si>
  <si>
    <t>4500193215-160</t>
  </si>
  <si>
    <t>空白贴纸和客版3L铜版纸资料跟翻单#4500179751 欠外箱贴纸</t>
  </si>
  <si>
    <t>日期码格式：ZURU INC(BVI) 标准格式 日期：按实际生产日期
Packaging Info: 出口加拿大，包装需要至少2/3L UPC版，无硼版本。
#77806: 2PK STD #77770入PVC筒,MA 3L 版收缩膜+空白贴纸和客版3L铜版纸资料跟翻单#4500179751。收藏指南和说明书为MA版本。（两个球的配比不能重复）
Remark: 1. Amazon FOB订单，出口CA。外箱最长边不能超过25" （超过了，case pack只能为1），不符合要求的大货，一律不接受。
2. 外箱正面印ZURU Logo + SSCC LABEL（客供贴纸)，侧面印item#（订单上显示的SKU#) + carton size(以工厂实际尺寸为准，单位: inch) + MADE IN CHINA，
日期使用ZURU 标准版本 SSCC Label 显示的是客人自己的item#，SSCC Label 贴在外箱正面的正中间，贴一面即可，跟单订购，贴纸离外箱距必须至少3cm，每一
张SSCC label 都是唯一且有不同流水及条码的，没有损耗，绝对不可贴错 ，否则贴错或损坏一张会导致全部都错，千万要注意: SSCC 贴纸务必要在正中间(可以覆
盖Logo &lt;(&gt;&amp;&lt;)&gt; 箱唛)，否则会影响到仓库扫描识别。
3. 日期码使用ZURU标准版本。
4. 如果大货有要求入邮包盒，则对应的邮包盒上面要打上日期码。
5. 按照客户PO# 装柜/箱号顺序装柜，跟单会提前给到装柜计划。在大货生产/仓库存放时，请留意该装柜要求，以便装柜时不混乱（避免装错/装漏/找不到货号等
）。
6. 出口加拿大，包装需要至少2/3L UPC版，无硼版本。
7.邮包盒上要印刷日期码</t>
  </si>
  <si>
    <t>7KCMRZ1R</t>
  </si>
  <si>
    <t>4500193215-170</t>
  </si>
  <si>
    <t>78RUKG5C</t>
  </si>
  <si>
    <t>4500193215-180</t>
  </si>
  <si>
    <t>77485
有香味</t>
  </si>
  <si>
    <t>77485
无香味</t>
  </si>
  <si>
    <t>MA 1L A/B收缩膜</t>
  </si>
  <si>
    <t>MA 1L 收缩膜 无条码</t>
  </si>
  <si>
    <t>客版收缩膜</t>
  </si>
  <si>
    <t>MA 5L B版收藏指南</t>
  </si>
  <si>
    <t>客版收藏指南</t>
  </si>
  <si>
    <t>客版
1L 8pcs
GQ1-S001</t>
  </si>
  <si>
    <t>1L 21pcs
GQ2-S001</t>
  </si>
  <si>
    <t>3L 21pcs
GQ2-S001</t>
  </si>
  <si>
    <t>1L 12PCS GQ4-S001</t>
  </si>
  <si>
    <t xml:space="preserve">25PCS GQ7-S001 </t>
  </si>
  <si>
    <t>3L 
SK1-S001 30pcs</t>
  </si>
  <si>
    <t>MSLD104展示架</t>
  </si>
  <si>
    <t>客版不含鞋子 收缩膜</t>
  </si>
  <si>
    <t>客版不含鞋子 收藏指南</t>
  </si>
  <si>
    <t>77486 圆筒</t>
  </si>
  <si>
    <t>77486 3L彩纸</t>
  </si>
  <si>
    <t>77486 TJX版本 彩纸</t>
  </si>
  <si>
    <t>77486 贴纸</t>
  </si>
  <si>
    <t>77601 圆筒</t>
  </si>
  <si>
    <t>776016 3L彩纸</t>
  </si>
  <si>
    <t>77601 贴纸</t>
  </si>
  <si>
    <t>GQ2/GQ7</t>
  </si>
  <si>
    <t>THE ENTERTAINER</t>
  </si>
  <si>
    <t>4500150141-2</t>
  </si>
  <si>
    <t>4500150141-80</t>
  </si>
  <si>
    <t>77485GQ6-S001</t>
  </si>
  <si>
    <t>3代迷你小手袋</t>
  </si>
  <si>
    <t>客户EAN条码贴一张覆盖ZURU 原条码，条码贴翻订单4500148687</t>
  </si>
  <si>
    <t>日期码格式：ZURU INC(BVI) 标准格式 日期：按实际生产日期
Packaging Info: 
77485GQ6：MA最新1L配套包装+客户EAN条码贴一张覆盖ZURU 原条码，条码贴翻订单4500148687。
Remark: *MA版本按工厂现有最新库存即可，订单出英国，请注意检查产品及包装应带UKCA图标，包装显示ZURU UK LTD信息，QC同事请查核，如有问题与跟单确认。
*生产日期按实际（法定工作日），按ZURU标准格式即可 ，但是请知悉包装日期码需要早于或者等于外箱日期码 ，不能晚于外箱日期码
*请注意所有订单都需要经过ZURU QC验货并且通过后方可出货
*条码以订单显示为准 ，请安排生产前先核对 ，有问题请提出。
*所有产品按符合欧洲标准走货，需要是不含微塑料版本 。
*涉及到硼的，如可选择情况下应使用低硼版本 （slime 类别低硼一般低于300ppm)，无选择的应与跟单复核再安排 。</t>
  </si>
  <si>
    <t>Sherry Lu</t>
  </si>
  <si>
    <t>88877-1.4</t>
  </si>
  <si>
    <t>ROSS PROCUREMENT.INC</t>
  </si>
  <si>
    <t>4500148421-20</t>
  </si>
  <si>
    <t>77486-S001</t>
  </si>
  <si>
    <t>3代迷你小手袋 圆筒装</t>
  </si>
  <si>
    <t>通用模板</t>
  </si>
  <si>
    <t>欠客供价格贴纸</t>
  </si>
  <si>
    <t>日期码格式： 标准格式 日期：按实际生产日期
Packaging Info: URU MA UPC 收缩膜+客版铜版纸+PVC桶 + 客供价格贴纸，出口美国 , 优先使用MA 1L 最新版本 。
Remark: 1.ZURU MA UPC 收缩膜+客版铜版纸+PVC桶 + 客供价格贴纸，出口美国 , 优先使用MA 1L 最新版本 。
2.价格贴纸位于包装正面右下角，不挡住重要信息即可，可适当调整
，价格贴纸由跟单提供。
3.标准日期码格式，产品和包装必须有日期码 。
4.同个产品同个货期不可出现不同的包装。
5. PVC 桶中球不能出现完全相同的ASSORTMENT ， 即同一个PVC 中球里的ASSORTMENT 需要不同。 以免消费者失望。
6.PVC 桶上加上 MINI BRANDS 的LOGO 贴纸 （ ZURU 统一要求的）
7.收缩膜可使用标版带UPC条码MA，无需白色贴纸覆盖。</t>
  </si>
  <si>
    <t>Sophia Zhou</t>
  </si>
  <si>
    <t>88928-1.7</t>
  </si>
  <si>
    <t>4500151611-80</t>
  </si>
  <si>
    <t>77485GQ7-S001</t>
  </si>
  <si>
    <t>客版日期码要求：LOT+ZURU标准日期码格式。东莞生产的格式：LOTDGYYYYMMDD, DG是东莞拼音首字母，
YYYYMMDD是实际的年月日，例如(LOTDG20240920)</t>
  </si>
  <si>
    <t>进口商贴纸翻单PO4500120342</t>
  </si>
  <si>
    <t>日期码格式：LOTDGYYYYMMDD 日期：按实际生产日期
Packaging Info:
77485GQ7: 3L MA EAN 收缩膜+新UPC条码贴纸+进口商贴纸+MA 5L 收藏指南+MA 3L PDQ+箱唛；进口商贴纸翻单PO4500120342，条码贴纸不翻单
Remark: 1. 客版日期码要求：LOT+ZURU标准日期码格式。东莞生产的格式：LOTDGYYYYMMDD, DG是东莞拼音首字母，
YYYYMMDD是实际的年月日，例如(LOTDG20240920)
3. 此单有第三方监柜，至少多备一套完整的物料用于监柜，请多备料。
4. WM墨西哥防霉的新要求:货物必须在出货主箱和集装箱中按要求放置干燥剂，干燥剂指定品牌干霸
77485GQ7： 需要在每箱放入6小包干燥剂，每包干燥剂重量2g
如走柜货等loading plan 确认后再通知集装箱干燥剂数量</t>
  </si>
  <si>
    <t>88845-1.2</t>
  </si>
  <si>
    <t>77485GQ7-S001-3L-1</t>
  </si>
  <si>
    <t>WALGREEN CO.</t>
  </si>
  <si>
    <t>MPO03152</t>
  </si>
  <si>
    <t>77485-S001</t>
  </si>
  <si>
    <t>此MPO订单替换原手工单MPOWAL034</t>
  </si>
  <si>
    <t>WIC贴纸（WIC # 795592）</t>
  </si>
  <si>
    <t>Remark:1.此MPO订单替换原手工单MPOWAL034
2.订单要求参考MPOWAL034
3.分三批送货
第-批 77485-8528pcs 77555-8528pcs(已送货)第二批77485-25584pcs77555-25584pcs(已送货)第三批 77485-8504pcs77555-8504pcs(待安排送货)</t>
  </si>
  <si>
    <t>94402-2.27   94410-2.28</t>
  </si>
  <si>
    <t>消耗取消单</t>
  </si>
  <si>
    <t>Ansaldo Chile</t>
  </si>
  <si>
    <t>智利</t>
  </si>
  <si>
    <t>4500146540-40</t>
  </si>
  <si>
    <t>进口商贴纸翻单PO4500146361</t>
  </si>
  <si>
    <t>日期码格式：ZURU INC(BVI) 标准格式 日期：按实际生产日期
Packaging Info: 
77485GQ7:MA 1L包装+进口商贴纸+箱唛,进口商贴纸翻单PO4500146361
Remark:</t>
  </si>
  <si>
    <t>88980-1.10</t>
  </si>
  <si>
    <t>London Supply Group SA</t>
  </si>
  <si>
    <t>4500152280-60</t>
  </si>
  <si>
    <t>日期码格式：ZURU INC(BVI) 标准格式 日期：按实际生产日期 Tracking Code:
Packaging Info: 77485GQ7:MA 1L包装+箱唛，无进口商贴纸
Remark:</t>
  </si>
  <si>
    <t>88896-1.6</t>
  </si>
  <si>
    <t>VM INTERNATIONAL</t>
  </si>
  <si>
    <t>4500151779-70</t>
  </si>
  <si>
    <t>77485GQ6-S003</t>
  </si>
  <si>
    <t>2025/1/6 第三方验货</t>
  </si>
  <si>
    <t>1/12 出货</t>
  </si>
  <si>
    <t>日期码格式：ZURU INC(BVI) 标准格式 日期：按实际生产日期
Packaging Info: 1.ZURU 标准日期码格式，
2.无第三方测试和验货，ZURU 内部QC验货即可出货
Remark: 3. 优先 MA 1L UPC包装;
4. 纸箱印ZURU LOGO，出口美国；</t>
  </si>
  <si>
    <t>94112-1.18</t>
  </si>
  <si>
    <t>WAL-MART STORES INC. USA</t>
  </si>
  <si>
    <t>0877286348
ELWOOD</t>
  </si>
  <si>
    <t>4500152202-10</t>
  </si>
  <si>
    <t>77485SLB-S004</t>
  </si>
  <si>
    <t>2025/1/6 自检</t>
  </si>
  <si>
    <t>12/20 RFID贴纸 艾利贴纸（不干胶贴纸）和一张普通贴纸（A4纸）</t>
  </si>
  <si>
    <t>日期码格式：ZURU DGYYYYMMDD CHINA(日期避开周末和法定节假日即可） 日期：按实际生产日期 Tracking Code:
Packaging Info: 77485SLB-S004
 1.包装要求：
 MA 1L收缩膜+ 客版 收藏指南B版+MA 纸袋+客版 1L PDQ，翻单：4500128976
每pcs产品上要贴1张RFID贴纸，贴纸由ZURU提供，贴纸位置请严格按照我们签回的签板；
Remark: 77485SLB-S004
 1.包装要求：
 MA 1L收缩膜+ 客版 收藏指南B版+MA 纸袋+客版 1L PDQ，翻单：4500128976
每pcs产品上要贴1张RFID贴纸，贴纸由ZURU提供，贴纸位置请严格按照我们签回的签板；
 2. 外箱印刷带条码的RFID箱唛：RFID紫色色带+WM Dept.图标+RFID图标+ITF-14条码，四面右下角印刷ZURU logo, ITFF条码只印刷在正唛一面，在加印的时候确保
 条形码能扫描出来，外箱侧面任一角落加印："MADE IN CHINA" 字样；
 3. 每个slip sheet上面贴一张艾利贴纸（不干胶贴纸）和一张普通贴纸（A4纸），slip sheet打印的普通贴纸的尺寸不能比艾利贴纸小，普通贴纸内容见附件；
 4. 在产品上和包装上要有日期码、以及要有MADE IN CHINA和ZURU字样；
 5. 产品如有扎带口要剪平，不能刮手。
 6. 此单需要验货，请多备料
 7. 此单以slip sheet出货，77485：1152pcs/96CTN/Slip Sheet</t>
  </si>
  <si>
    <t>94397-2.27</t>
  </si>
  <si>
    <t>0877286379
RIDGEVILLE SC</t>
  </si>
  <si>
    <t>4500152202-20</t>
  </si>
  <si>
    <t>0877286391
EASTVALE</t>
  </si>
  <si>
    <t>4500152202-30</t>
  </si>
  <si>
    <t>94052-1.15</t>
  </si>
  <si>
    <t>0877286395
STATESBORO</t>
  </si>
  <si>
    <t>4500152202-40</t>
  </si>
  <si>
    <t>0877286401 SUFFOLK</t>
  </si>
  <si>
    <t>4500152202-50</t>
  </si>
  <si>
    <t>94018-1.13</t>
  </si>
  <si>
    <t>0877286405
HOUSTON</t>
  </si>
  <si>
    <t>4500152202-60</t>
  </si>
  <si>
    <t>0877286409
MOBILE</t>
  </si>
  <si>
    <t>4500152202-70</t>
  </si>
  <si>
    <t>ZU01-25</t>
  </si>
  <si>
    <t>4500152087-100</t>
  </si>
  <si>
    <t>日期码格式：ZURU INC(BVI) 标准格式 日期：按实际生产日期 
Packaging Info: 77485GQ7:MA 1L包装+进口商贴纸+箱唛
Remark:</t>
  </si>
  <si>
    <t>88961-1.9</t>
  </si>
  <si>
    <t>MPOWAL034</t>
  </si>
  <si>
    <t>Remark:1. 2% 损耗                                                                                                                      2. 送货前必需通知我司安排验货                                                                                                           3.77485：MA 1L包装 + WIC贴纸（WIC # 795592）        4.产品和包装上要有ZURU 标准格式 tracking code DG20241122                                                                                       4.先安排CRD 11/22的数量，CRD 12/10的数量等通知后再安排                                                                                 5.11/22完成23452PCS, 11/23抽板测试，抽板后才可以安排送货。所有来料都要测试符合美国联邦法规和州法规后才可以做大货。如因测试问题延期造成罚款需由工厂承担。                                                                                                                             6. 装箱方式需另外跟PM确认，用周转箱/周转框，出货前需提供装箱清单                                                                          7.收到PO后请寄出每款1个球和全套散件给实验室。大货样77515 12PCS，77555 16PCS,7748516PCS, 待通知后再寄出。</t>
  </si>
  <si>
    <t>Inventive Toys</t>
  </si>
  <si>
    <t>4500150836-20</t>
  </si>
  <si>
    <t>注意 ：外包装 (指: 收缩膜/彩卡/铝箔袋/挂卡/PDQ) /外箱不要打ZURU标准日期码！胶件可以打日期码。</t>
  </si>
  <si>
    <t>进口商贴纸+EAN条码贴纸</t>
  </si>
  <si>
    <t>日期码格式：外包装/外箱不要打ZURU标准日期码 日期：
Packaging Info: 注意 ：外包装 (指: 收缩膜/彩卡/铝箔袋/挂卡/PDQ) /外箱不要打ZURU标准日期码！胶件可以打日期码。
外包装（包括收缩膜/彩卡/PDQ）都不能含Instagram and facebook logo等社交logo;
1L MA 收缩膜 或者彩卡+ 进口商贴纸； MA PDQ + EAN条码贴纸 ， MA指南/说明书（如有）;
Remark: 标准配比 ；整单货期2025年1月3</t>
  </si>
  <si>
    <t>Ann Zhang</t>
  </si>
  <si>
    <t>94071-1.16</t>
  </si>
  <si>
    <t>BURLINGTON COAT FACTORY</t>
  </si>
  <si>
    <t>客户PO#383017
506</t>
  </si>
  <si>
    <t>4500151472-50</t>
  </si>
  <si>
    <t>日期码格式：ZURU INC(BVI) 标准格式 日期：按实际生产日期
Packaging Info: 1，ZURU MA （首选1L）UPC版本+客供价格贴纸+外箱贴纸，出口美国
有PVC桶的价格贴纸贴在PVC桶上面
Remark: 2，产品和包装上印刷ZURU 标准日期码；
3，纸箱中间靠上沿印刷ZURU LOGO，见箱唛资料
4、外箱UCC 条码贴纸，尺寸: 4*6inch，贴在其中一面正唛右下角，贴纸距离外箱底部3.5cm, 侧边距离3.5cm。外箱贴纸由跟单提供电子版, 工厂自行安排，不可用
封箱胶覆盖贴纸条码，贴纸需要可以扫描且无损坏.
5，每个产品有一个价格贴纸， 价格贴纸覆盖UPC条码上 （若UPC 条码太大，可以露出ITEM#, 覆盖条码即可），若价格贴纸覆盖UPC 会挡住文字/图案，在产品背面
找空白处粘贴价格贴纸即可。贴的时候要是会覆盖包装上重要的信息和图案，需要告知跟单。</t>
  </si>
  <si>
    <t>Jessi Xu</t>
  </si>
  <si>
    <t>88988-1.11</t>
  </si>
  <si>
    <t>客户PO#383019
406</t>
  </si>
  <si>
    <t>4500151472-100</t>
  </si>
  <si>
    <t>88981-1.10</t>
  </si>
  <si>
    <t>DD’S DISCOUNTS</t>
  </si>
  <si>
    <t>4500150308-10</t>
  </si>
  <si>
    <t>日期码格式： 标准格式 日期：按实际生产日期
Packaging Info: 1.ZURU MA UPC 收缩膜+客版铜版纸+PVC桶 + 客供价格贴纸，出口美国 , 优先使用MA 1L 最新版本 。
Remark: 1.ZURU MA UPC 收缩膜+客版铜版纸+PVC桶 + 客供价格贴纸，出口美国 , 优先使用MA 1L 最新版本 。
2.价格贴纸位于包装正面右下角，不挡住重要信息即可，可适当调整
，价格贴纸由跟单提供。
3.标准日期码格式，产品和包装必须有日期码 。
4.同个产品同个货期不可出现不同的包装。
5. PVC 桶中球不能出现完全相同的ASSORTMENT ， 即同一个PVC 中球里的ASSORTMENT 需要不同。 以免消费者失望。
6.PVC 桶上加上 MINI BRANDS 的LOGO 贴纸 （ ZURU 统一要求的）
7.收缩膜可使用标版带UPC条码MA，无需白色贴纸覆盖。
8. #77516 收缩膜用3L+空白贴纸</t>
  </si>
  <si>
    <t>Taylor Liao</t>
  </si>
  <si>
    <t>94145-1.21</t>
  </si>
  <si>
    <t>0881410086
STATESBORO</t>
  </si>
  <si>
    <t>4500153681-10</t>
  </si>
  <si>
    <t>2025/1/14第三方验货</t>
  </si>
  <si>
    <t>12/20 寄出RFID贴纸</t>
  </si>
  <si>
    <t>日期码格式：ZURU DGYYYYMMDD CHINA(日期避开周末和法定节假日即可） 日期：按实际生产日期
Packaging Info: 77485SLB-S004
1.包装要求：
MA 1L收缩膜+ 客版 收藏指南B版+MA 纸袋+客版 1L PDQ，翻单：4500128976
每pcs产品上要贴1张RFID贴纸，贴纸由ZURU提供，贴纸位置请严格按照我们签回的签板；
Remark: 77485SLB-S004
1.包装要求：
MA 1L收缩膜+ 客版 收藏指南B版+MA 纸袋+客版 1L PDQ，翻单：4500128976
每pcs产品上要贴1张RFID贴纸，贴纸由ZURU提供，贴纸位置请严格按照我们签回的签板；
2. 外箱印刷带条码的RFID箱唛：RFID紫色色带+WM Dept.图标+RFID图标+ITF-14条码，四面右下角印刷ZURU logo, ITFF条码只印刷在正唛一面，在加印的时候确保
条形码能扫描出来，外箱侧面任一角落加印："MADE IN CHINA" 字样；
3. 每个slip sheet上面贴一张艾利贴纸（不干胶贴纸）和一张普通贴纸（A4纸），slip sheet打印的普通贴纸的尺寸不能比艾利贴纸小，普通贴纸内容见附件；
4. 在产品上和包装上要有日期码、以及要有MADE IN CHINA和ZURU字样；
5. 产品如有扎带口要剪平，不能刮手。
6. 此单需要验货，请多备料
7. 此单以slip sheet出货，77485：1152pcs/96CTN/Slip Sheet</t>
  </si>
  <si>
    <t>94124-1.20</t>
  </si>
  <si>
    <t>0881410104
ELWOOD</t>
  </si>
  <si>
    <t>4500153681-20</t>
  </si>
  <si>
    <t>94051-1.15</t>
  </si>
  <si>
    <t>0881410110
EASTVALE</t>
  </si>
  <si>
    <t>4500153681-30</t>
  </si>
  <si>
    <t>0881410111
HOUSTON</t>
  </si>
  <si>
    <t>4500153681-40</t>
  </si>
  <si>
    <t>0881410114  SUFFOLK</t>
  </si>
  <si>
    <t>4500153681-50</t>
  </si>
  <si>
    <t>0881410121
MOBILE</t>
  </si>
  <si>
    <t>4500153681-60</t>
  </si>
  <si>
    <t>94084-1.17</t>
  </si>
  <si>
    <t>0881410134
RIDGEVILLE SC</t>
  </si>
  <si>
    <t>4500153681-70</t>
  </si>
  <si>
    <t>TJX COMPANIES, INC</t>
  </si>
  <si>
    <t>TJ MAXX
DC#891-120PCS
,
DC#894-96PCS,
DC#896-96PCS,
DC#897-192PCS
,
DC#898-96PCS</t>
  </si>
  <si>
    <t>4500147801-40</t>
  </si>
  <si>
    <t>欠客供价格贴纸+空白贴纸</t>
  </si>
  <si>
    <t>日期码格式：ZURU INC(BVI) 标准格式 日期：按实际生产日期
Packaging Info: MA UPC包装+价格贴纸，价格贴纸客供。#77486 球的收缩膜用无条码版本或者加空白贴纸覆盖条码信息。
Remark: 1. 产品和包装上印刷tracking code信息，格式为ZURU常规格式。
2. 分5个DC出货，每款产品每个DC的箱唛资料不同。具体分DC数量，请参考后面行项目备注。
3. ZURU QC验货。</t>
  </si>
  <si>
    <t>Emily Wu</t>
  </si>
  <si>
    <t>94280-2.18</t>
  </si>
  <si>
    <t>Marshalls
DC#881-120PCS
,
DC#884-96PCS,
DC#886-132PCS
,
DC#887-120PCS
,
DC#888-132PCS</t>
  </si>
  <si>
    <t>4500147799-40</t>
  </si>
  <si>
    <t>94278-2.18</t>
  </si>
  <si>
    <t>4500150464-30</t>
  </si>
  <si>
    <t>pass</t>
  </si>
  <si>
    <t>日期码格式：ZURU INC(BVI) 标准格式 日期：按实际生产日期
Packaging Info: 1.ZURU MA UPC 收缩膜+客版铜版纸+PVC桶 + 客供价格贴纸，出口美国 , 优先使用MA 1L 最新版本 。
Remark: 1.ZURU MA UPC 收缩膜+客版铜版纸+PVC桶 + 客供价格贴纸，出口美国 , 优先使用MA 1L 最新版本 。
2.价格贴纸位于包装正面右下角，不挡住重要信息即可，可适当调整
，价格贴纸由跟单提供。
3.标准日期码格式，产品和包装必须有日期码 。
4.同个产品同个货期不可出现不同的包装。
5. PVC 桶中球不能出现完全相同的ASSORTMENT ， 即同一个PVC 中球里的ASSORTMENT 需要不同。 以免消费者失望。
6.PVC 桶上加上 MINI BRANDS 的LOGO 贴纸 （ ZURU 统一要求的）
7.收缩膜可使用标版带UPC条码MA，无需白色贴纸覆盖。</t>
  </si>
  <si>
    <t>94486-3.7</t>
  </si>
  <si>
    <t>Cladellas 2000 S.L</t>
  </si>
  <si>
    <t>4500153372-60</t>
  </si>
  <si>
    <t>1/15 出货</t>
  </si>
  <si>
    <t>日期码格式：ZURU INC(BVI) 标准格式 日期：按实际生产日期
Packaging Info:
6.77485GQ7：最新MA 3L EAN 版本包装+一张客户警语贴纸（含环保标）+MA 5L 收藏指南+MA 3L PDQ；
Remark: 产品均符合EU微塑料法规要求：不含有微塑料，不含有闪粉；
此单需要在年前出货，请注意安排装柜人员；</t>
  </si>
  <si>
    <t>Sherry Chen</t>
  </si>
  <si>
    <t>94203-2.10</t>
  </si>
  <si>
    <t>MPO03108</t>
  </si>
  <si>
    <t>子件于2025年1月21日送到库有混装</t>
  </si>
  <si>
    <r>
      <rPr>
        <sz val="10"/>
        <rFont val="等线"/>
        <charset val="134"/>
      </rPr>
      <t xml:space="preserve">Remark:1.包装:ZURU MA 1L UPC最新包装;出口美国2.日期跟踪码:产品外包装及产品本身都必须有日期跟踪码，并且确保两者的日期跟踪码要一致;2URU标准格式日期码(请自行调整具体年月日生产期,但不能为周末)该单是多工厂混装，为了统一，日期可以统一打2025年1月16日
3.按照Zuru MA 标板配比
4.子件于2025年1月21日送到库有混装,产品包菠上需做好标识,以便组装厂识别组装时避免重复字,送货到库有厂时送货单请备注上:客供子件给Mils Fleet Farm p4500153457 </t>
    </r>
    <r>
      <rPr>
        <sz val="10"/>
        <color rgb="FFFF0000"/>
        <rFont val="等线"/>
        <charset val="134"/>
      </rPr>
      <t>#MSLD121-S001</t>
    </r>
    <r>
      <rPr>
        <sz val="10"/>
        <rFont val="等线"/>
        <charset val="134"/>
      </rPr>
      <t>混装用。</t>
    </r>
  </si>
  <si>
    <t>Mila Yao</t>
  </si>
  <si>
    <t>94409-2.28</t>
  </si>
  <si>
    <t>24-1067174JEC</t>
  </si>
  <si>
    <t>4500153836-20</t>
  </si>
  <si>
    <t>日期码格式：LOTE 格式：例如2025-01 日期： 
Packaging Info: 77485GQ7：MA 5L 收藏指南+MA 3L 包装+UPC 贴纸+MA 3L PDQ 包装+进口商贴纸+箱唛
Remark:
 客户有LOTE 格式：例如2025-01. ，外箱箱唛，产品批号需要与进口商贴纸保持一致。</t>
  </si>
  <si>
    <t>94144-1.21</t>
  </si>
  <si>
    <t>CENTRO CUESTA NACIONAL</t>
  </si>
  <si>
    <t>多米尼加共和国</t>
  </si>
  <si>
    <t>4500153864-80</t>
  </si>
  <si>
    <t xml:space="preserve">日期码格式：2025-01 日期：
Packaging Info:
77485GQ7：MA 5L 收藏指南+MA 3L 包装+UPC 贴纸+MA 3L PDQ 包装+箱唛
Remark: </t>
  </si>
  <si>
    <t>94113-1.18</t>
  </si>
  <si>
    <t>4500152749-10</t>
  </si>
  <si>
    <t>77485GQ4-S002</t>
  </si>
  <si>
    <t>WIC贴纸（WIC#744431）</t>
  </si>
  <si>
    <t>日期码格式：ZURU INC(BVI) 标准格式:DG20250207 日期：02-07-2025 Tracking Code:
Packaging Info:
Remark: 客版1L PDQ +MA 1L包装 + WIC贴纸（WIC#744431）+ MA 收藏指南 + PDQ折页 （同PO 4500142744）
 产品和包装上面要有ZURU 标准格式TRACKING CODE， DG20250207</t>
  </si>
  <si>
    <t>94189-2.8</t>
  </si>
  <si>
    <t>待定</t>
  </si>
  <si>
    <t>4500152749-20</t>
  </si>
  <si>
    <t>4500152749-30</t>
  </si>
  <si>
    <t>4500152749-40</t>
  </si>
  <si>
    <t>4500152749-50</t>
  </si>
  <si>
    <t>4500152749-60</t>
  </si>
  <si>
    <t>4500152749-70</t>
  </si>
  <si>
    <t>4500152538-2:
FB12127</t>
  </si>
  <si>
    <t>4500152538-60</t>
  </si>
  <si>
    <t>条码贴翻订单4500148687</t>
  </si>
  <si>
    <t>日期码格式：ZURU INC(BVI) 标准格式 日期：按实际生产日期
Packaging Info:
77485GQ6：MA最新1L配套包装+客户EAN条码贴一张覆盖ZURU 原条码，条码贴翻订单4500148687。
Remark: *MA版本按工厂现有最新库存即可，订单出英国，请注意检查产品及包装应带UKCA图标，包装显示ZURU UK LTD信息，QC同事请查核，如有问题与跟单确认。
*生产日期按实际（法定工作日），按ZURU标准格式即可 ，但是请知悉包装日期码需要早于或者等于外箱日期码 ，不能晚于外箱日期码
*请注意所有订单都需要经过ZURU QC验货并且通过后方可出货
*条码以订单显示为准 ，请安排生产前先核对 ，有问题请提出。
*所有产品按符合欧洲标准走货，需要是不含微塑料版本 。
*涉及到硼的，如可选择情况下应使用低硼版本 （slime 类别低硼一般低于300ppm)，无选择的应与跟单复核再安排 。</t>
  </si>
  <si>
    <t>Amy Ding</t>
  </si>
  <si>
    <t>94275-2.18</t>
  </si>
  <si>
    <t>4500152538-3:
FB12155</t>
  </si>
  <si>
    <t>4500152538-150</t>
  </si>
  <si>
    <t>4500147804-50</t>
  </si>
  <si>
    <t>94381-2.27</t>
  </si>
  <si>
    <t>4500147806-50</t>
  </si>
  <si>
    <t>94380-2.27</t>
  </si>
  <si>
    <t>TJX Australia Pty Limited</t>
  </si>
  <si>
    <t>CUS PO#885182</t>
  </si>
  <si>
    <t>4500154316-10</t>
  </si>
  <si>
    <r>
      <rPr>
        <sz val="10"/>
        <rFont val="等线"/>
        <charset val="134"/>
      </rPr>
      <t xml:space="preserve">日期码格式：ZURU INC(BVI) 标准格式 日期：按实际生产日期
Packaging Info: 包装：
 77486: </t>
    </r>
    <r>
      <rPr>
        <sz val="10"/>
        <color rgb="FFFF0000"/>
        <rFont val="等线"/>
        <charset val="134"/>
      </rPr>
      <t>客版PVC桶_UPC版本+MA收缩膜和收藏指南（UPC条码用1张空白贴纸盖住）+箱唛+1张客供贴纸；（首选1L，无1L可用多L含英语）</t>
    </r>
    <r>
      <rPr>
        <sz val="10"/>
        <rFont val="等线"/>
        <charset val="134"/>
      </rPr>
      <t xml:space="preserve">
 Ratio：
Remark: 1.箱唛不可出现任何手写内容，重量与实际须一致且不可手写;
 2.产品上贴客供价格贴纸，贴纸位置为产品正面右上角，不能遮住产品信息；请与跟单确认贴纸位置后再生产大货；
 3.订单每行对应客人不同的PO，即同款item的价格贴纸都不相同，请注意收到贴纸后不要弄混!（CUS PO号请参考行项目Remark）
 4. 此单去澳大利亚，请按相应澳新标准生产并满足当地法规要求;
 5.ZURU QC验货。
 6.产品和包装上要有tracking label信息：日期码格式为Zuru标准格式；</t>
    </r>
  </si>
  <si>
    <t>94276-2.18</t>
  </si>
  <si>
    <t>CUS PO#885186</t>
  </si>
  <si>
    <t>4500154316-50</t>
  </si>
  <si>
    <t>CUS PO#885190</t>
  </si>
  <si>
    <t>4500154316-90</t>
  </si>
  <si>
    <t>4500151537-10</t>
  </si>
  <si>
    <t>ROSS通用排版</t>
  </si>
  <si>
    <t>客供价格贴纸</t>
  </si>
  <si>
    <t>日期码格式： 标准格式 日期：按实际生产日期
Packaging Info: 1.ZURU MA UPC 收缩膜+客版铜版纸+PVC桶 + 客供价格贴纸，出口美国 , 优先使用MA 1L 最新版本 。
Remark: 1.ZURU MA UPC 收缩膜+客版铜版纸+PVC桶 + 客供价格贴纸，出口美国 , 优先使用MA 1L 最新版本 。
2.价格贴纸位于包装正面右下角，不挡住重要信息即可，可适当调整
，价格贴纸由跟单提供。
3.标准日期码格式，产品和包装必须有日期码 。
4.同个产品同个货期不可出现不同的包装。
5. PVC 桶中球不能出现完全相同的ASSORTMENT ， 即同一个PVC 中球里的ASSORTMENT 需要不同。 以免消费者失望。
6.PVC 桶上加上 MINI BRANDS 的LOGO 贴纸 （ ZURU 统一要求的）
7.收缩膜可使用标版带UPC条码MA，无需白色贴纸覆盖。</t>
  </si>
  <si>
    <t>ZB00019-3.20</t>
  </si>
  <si>
    <t>0885773823
SUFFOLK</t>
  </si>
  <si>
    <t>4500154532-10</t>
  </si>
  <si>
    <t>3/4 SI</t>
  </si>
  <si>
    <t>欠RFID贴纸</t>
  </si>
  <si>
    <t>日期码格式：ZURU DGYYYYMMDD CHINA(日期避开周末和法定节假日即可） 日期：按实际生产日期 
Packaging Info: 77485SLB-S004
 1.包装要求：
 MA 1L收缩膜+ 客版 收藏指南B版+MA 纸袋+客版 1L PDQ，翻单：4500128976
每pcs产品上要贴1张RFID贴纸，贴纸由ZURU提供，贴纸位置请严格按照我们签回的签板；
Remark: 77485SLB-S004
 1.包装要求：
 MA 1L收缩膜+ 客版 收藏指南B版+MA 纸袋+客版 1L PDQ，翻单：4500128976
每pcs产品上要贴1张RFID贴纸，贴纸由ZURU提供，贴纸位置请严格按照我们签回的签板；
 2. 外箱印刷带条码的RFID箱唛：RFID紫色色带+WM Dept.图标+RFID图标+ITF-14条码，四面右下角印刷ZURU logo, ITFF条码只印刷在正唛一面，在加印的时候确保
 条形码能扫描出来，外箱侧面任一角落加印："MADE IN CHINA" 字样；
 3. 每个slip sheet上面贴一张艾利贴纸（不干胶贴纸）和一张普通贴纸（A4纸），slip sheet打印的普通贴纸的尺寸不能比艾利贴纸小，普通贴纸内容见附件；
 4. 在产品上和包装上要有日期码、以及要有MADE IN CHINA和ZURU字样；
 5. 产品如有扎带口要剪平，不能刮手。
 6. 此单需要验货，请多备料
 7. 此单以slip sheet出货，77485：1152pcs/96CTN/Slip Sheet</t>
  </si>
  <si>
    <t>94290-2.19</t>
  </si>
  <si>
    <t>0885773840
STATESBORO</t>
  </si>
  <si>
    <t>4500154532-20</t>
  </si>
  <si>
    <t>94268-2.17</t>
  </si>
  <si>
    <t>0885773843
HOUSTON</t>
  </si>
  <si>
    <t>4500154532-30</t>
  </si>
  <si>
    <t>94336-2.24  94474-3.6</t>
  </si>
  <si>
    <t>0885773844
RIDGEVILLE SC</t>
  </si>
  <si>
    <t>4500154532-40</t>
  </si>
  <si>
    <t>94336-2.24</t>
  </si>
  <si>
    <t>0885773845 EASTVALE</t>
  </si>
  <si>
    <t>4500154532-50</t>
  </si>
  <si>
    <t>94362-2.26</t>
  </si>
  <si>
    <t>0885773895
MOBILE</t>
  </si>
  <si>
    <t>4500154532-60</t>
  </si>
  <si>
    <t>KOTRYNA GROUP, UAB</t>
  </si>
  <si>
    <t>立陶宛</t>
  </si>
  <si>
    <t>4500154811-20</t>
  </si>
  <si>
    <t>进口商贴纸（贴纸翻4500135326 &lt;(&gt;&amp;&lt;)&gt; 4500135339）</t>
  </si>
  <si>
    <t>日期码格式：ZURU INC(BVI) 标准格式 日期：按实际生产日期 
Packaging Info: 
 77485GQ6：B 版 1L MA 收缩膜+进口商贴纸（贴纸翻4500135326 &lt;(&gt;&amp;&lt;)&gt; 4500135339）；A 版 1L MA PDQ/ B 版 5L MA 收藏指南
Remark: 1、若产品有比例使用ZURU STD 比例
 2、所有item 均用MA UPC 条码，若包装不是UPC 条码的请告知
 3、此单出欧洲需满足EU测试标准要求。另外若产品本身含闪粉则需要出符合欧洲微塑料版本的产品</t>
  </si>
  <si>
    <t>Snowy</t>
  </si>
  <si>
    <t>94291-2.19</t>
  </si>
  <si>
    <t>AMAZON.COM.DEDC,LLC</t>
  </si>
  <si>
    <t>58SRIN4E</t>
  </si>
  <si>
    <t>4500153992-30</t>
  </si>
  <si>
    <t>日期码格式： 标准格式 日期：按实际生产日期
Packaging Info:
 #77486：2PK #77485入PVC圆筒。收藏指南用MA 5L，收缩膜用MA 1L不带UPC版。2PK铜版纸图稿翻单4500141223(两个球的配比不能重复)。
Remark: 1.Amazon FOB订单，出口US。外箱最长边不能超过25" （超过了，case pack只能为1），不符合要求的大货，一律不接受。
 2. 外箱正面印ZURU Logo+SSCC LABEL（客供贴纸), 侧面印item#（订单上显示的SKU#)+carton size(以工厂实际尺寸为准,单位: inch) +MADE IN CHINA,日期使用Z
 URU 标准版本 SSCC Label 显示的是客人自己的item#, SSCC Label 贴在外箱正面的正中间，贴一面即可，跟单订购，贴纸离外箱距必须至少3cm, 每一张SSCC labe
 l 都是唯一且有不同流水及条码的，没有损耗，绝对不可贴错 ，否则贴错或损坏一张会导致全部都错，千万要注意.
 SSCC 贴纸务必要在正中间(可以覆盖Logo &lt;(&gt;&amp;&lt;)&gt; 箱唛), 否则会影响到仓库扫描识别
 3.日期码使用ZURU标准版本
 邮包盒上要打上日期码
 LCL散货， 直接送货到CDS保税仓</t>
  </si>
  <si>
    <t>kelly/Mia</t>
  </si>
  <si>
    <t>94376-2.27</t>
  </si>
  <si>
    <t>4AOAWCYU</t>
  </si>
  <si>
    <t>4500154101-140</t>
  </si>
  <si>
    <t>日期码格式： 标准格式 日期：按实际生产日期 
Packaging Info: 
 #77486：2PK #77485入PVC圆筒。收藏指南用MA 5L，收缩膜用MA 1L不带UPC版。2PK铜版纸图稿翻单4500141223。(两个球的配比不能重复)。
Remark: 1. Amazon FOB订单，出口US。
 2. 日期码使用ZURU标准版本。
 3. 如果大货有要求入邮包盒，则对应的邮包盒上面要打上日期码。
 4. 箱尺寸要求：外箱最长边不能超过25"(超过了，case pack只能为1)，不符合要求的大货，一律不接受。
 5. 外箱箱唛要求：
 ①外箱正面印ZURU Logo+SSCC Label(客供贴纸，由跟单订购)。关于 SSCC Label 请注意：
 SSCC Label显示的是客人自己的item#。每一张SSCC label都是唯一且有不同流水及条码的，没有损耗，绝对不可贴错。如果贴错或损坏任何一张，都会导致全部都
 错，千万要注意！SSCC Label必须贴在外箱正面的正中间位置(贴一面即可)，并且贴纸离外箱边距必须至少3cm(可以覆盖Logo&lt;(&gt;&amp;&lt;)&gt;箱唛)，否则会影响到客户那边
 仓库的扫描识别。
 ②外箱侧面印item#(订单上显示的SKU#)+carton size(以工厂实际尺寸为准，单位: inch)+MADE IN CHINA，日期使用ZURU 标准版本。
 6. 装柜要求：按照客户PO#装柜/箱号顺序装柜，跟单会提前给到装柜计划。
 在大货生产/仓库存放时，请留意该装柜要求，以便装柜时不混乱(避免装错/装漏/找不到货号等)。</t>
  </si>
  <si>
    <t>94337-2.24</t>
  </si>
  <si>
    <t>Distribuidora Liverpool S.A de C.V.</t>
  </si>
  <si>
    <t>4500149460-150</t>
  </si>
  <si>
    <t>进口商贴纸翻单之前PO#4500137056</t>
  </si>
  <si>
    <t>日期码格式：ZURU INC(BVI) 标准格式 日期：按实际生产日期
Packaging Info:77485GQ7:MA 3LEAN包装+UPC贴纸+进口商贴纸+价标贴纸+箱唛，UPC贴纸/进口商贴纸翻单PO4500137056
Remark: 1. 此单价格贴纸（ZURU定购).
2.此单有第三方监柜，不用额外准备备品，会在大货中每款拆1pc，拆了包装的产品会由监装员用客供胶带封好或在外箱上写上""opened by telescope”</t>
  </si>
  <si>
    <t>94382-2.27</t>
  </si>
  <si>
    <t>4500151307-90</t>
  </si>
  <si>
    <t>UPC贴纸+进口商贴纸+客供价标贴纸</t>
  </si>
  <si>
    <t>日期码格式：ZURU INC(BVI) 标准格式 日期：按实际生产日期
Packaging Info:
77485GQ7:MA 3LEAN包装+UPC贴纸+进口商贴纸+价标贴纸+箱唛，UPC贴纸/进口商贴纸翻单PO4500137056
Remark: 1. 此单价格贴纸（ZURU定购).
2.此单有第三方监柜，不用额外准备备品，会在大货中每款拆1pc，拆了包装的产品会由监装员用客供胶带封好或在外箱上写上""opened by telescope”</t>
  </si>
  <si>
    <t>94352-2.25</t>
  </si>
  <si>
    <t>AMIC TRADING (PTY) LTD</t>
  </si>
  <si>
    <t>南非</t>
  </si>
  <si>
    <t>PO#6006-00522
6PI#110002571
5-2</t>
  </si>
  <si>
    <t>4500154694-40</t>
  </si>
  <si>
    <t>日期码格式：ZURU INC(BVI) 标准格式 日期：按实际生产日期 
Packaging Info: MA PKG, 优先1L +1张进口商贴纸（贴条码附近空白处，不得遮挡日期码）
 该客户只有一款进口商贴纸，所有款通用，进口商贴纸AW可翻此客户旧订单
Remark:</t>
  </si>
  <si>
    <t>94351-2.25</t>
  </si>
  <si>
    <t>47:0003113849</t>
  </si>
  <si>
    <t>4500154656-10</t>
  </si>
  <si>
    <t>日期码格式：ZURU INC(BVI) 标准格式 日期：按实际生产日期 
Packaging Info: 77485GQ7：MA 1L PKG+1张日语警语贴纸
Remark: 出日本首单需安排样板测试， 请按邮件要求先寄出MA包装的样板做测试。
 大货的产品内容和MA包装版本以及产品品质需严格跟到寄出的测试版。</t>
  </si>
  <si>
    <t>94602-3.21</t>
  </si>
  <si>
    <t>FB12131</t>
  </si>
  <si>
    <t>4500154847-60</t>
  </si>
  <si>
    <t>客户EAN条码（翻单4500148687）</t>
  </si>
  <si>
    <t>日期码格式：ZURU INC(BVI) 标准格式 日期：按实际生产日期 
Packaging Info: 
 77485GQ6: MA最新1L配套包装+客户EAN条码（翻单4500148687）覆盖ZURU 原条码，MA PDQ
Remark: *MA版本按工厂现有最新库存即可，订单出英国，请注意检查产品及包装应带UKCA图标，包装显示ZURU UK LTD信息，QC同事请查核，如有问题与跟单确认
 *生产日期按实际（法定工作日），按ZURU标准格式即可 ，但是请知悉包装日期码需要早于或者等于外箱日期码 ，不能晚于外箱日期码
 *请注意所有订单都需要经过ZURU QC验货并且通过后方可出货
 *条码以订单显示为准 ，请安排生产前先核对 ，有问题请提出。
 *所有产品按符合欧洲标准走货，需要是不含微塑料版本 。
 *涉及到硼的，如可选择情况下应使用低硼版本 （slime 类别低硼一般低于300ppm)，无选择的应与跟单复核再安排 。
 *条码以订单显示为准 ，请安排生产前先核对 ，有问题请提出。
 *订单对应客户2个PO号 ，备注有显示 ，注意分开做货/验货/装柜 ，混装有罚款。
 *样板： 请在1/20前每款寄出2pcs大货样到罗湖办公室 7B Sandy Shao收</t>
  </si>
  <si>
    <t>94436-3.4</t>
  </si>
  <si>
    <t>0885773851
EASTVALE</t>
  </si>
  <si>
    <t>4500154533-10</t>
  </si>
  <si>
    <t>日期码格式：ZURU DGYYYYMMDD CHINA(日期避开周末和法定节假日即可） 日期：按实际生产日期 
Packaging Info: 77485SLB-S004
 1.包装要求：
 MA 1L收缩膜+ 客版 收藏指南B版+MA 纸袋+客版 1L PDQ，翻单：4500128976
每pcs产品上要贴1张RFID贴纸，贴纸由ZURU提供，贴纸位置请严格按照我们签回的签板
Remark: 77485SLB-S004
 1.包装要求：
 MA 1L收缩膜+ 客版 收藏指南B版+MA 纸袋+客版 1L PDQ，翻单：4500128976
每pcs产品上要贴1张RFID贴纸，贴纸由ZURU提供，贴纸位置请严格按照我们签回的签板；
 2. 外箱印刷带条码的RFID箱唛：RFID紫色色带+WM Dept.图标+RFID图标+ITF-14条码，四面右下角印刷ZURU logo, ITFF条码只印刷在正唛一面，在加印的时候确保
 条形码能扫描出来，外箱侧面任一角落加印："MADE IN CHINA" 字样；
 3. 每个slip sheet上面贴一张艾利贴纸（不干胶贴纸）和一张普通贴纸（A4纸），slip sheet打印的普通贴纸的尺寸不能比艾利贴纸小，普通贴纸内容见附件；
 4. 在产品上和包装上要有日期码、以及要有MADE IN CHINA和ZURU字样；
 5. 产品如有扎带口要剪平，不能刮手。
 6. 此单需要验货，请多备料
 7. 此单以slip sheet出货，77485：1152pcs/96CTN/Slip Sheet</t>
  </si>
  <si>
    <t>94543-3.13</t>
  </si>
  <si>
    <t>0885773855
MOBILE</t>
  </si>
  <si>
    <t>4500154533-20</t>
  </si>
  <si>
    <t>94451-3.5</t>
  </si>
  <si>
    <t>0885773864
STATESBORO</t>
  </si>
  <si>
    <t>4500154533-30</t>
  </si>
  <si>
    <t>94490-3.7</t>
  </si>
  <si>
    <t>0885773871
SUFFOLK</t>
  </si>
  <si>
    <t>4500154533-40</t>
  </si>
  <si>
    <t>0885773885 HOUSTON</t>
  </si>
  <si>
    <t>4500154533-50</t>
  </si>
  <si>
    <t>94571-3.17</t>
  </si>
  <si>
    <t>0885773894
RIDGEVILLE SC</t>
  </si>
  <si>
    <t>4500154533-60</t>
  </si>
  <si>
    <t>94512-3.11</t>
  </si>
  <si>
    <t>ZU24120901SG</t>
  </si>
  <si>
    <t>4500154572-40</t>
  </si>
  <si>
    <t>贴纸AW、位置图翻单如下：
 77485-4500131403</t>
  </si>
  <si>
    <t xml:space="preserve">日期码格式：ZURU INC(BVI) 标准格式 日期：按实际生产日期 
Packaging Info: MA UPC包装（优先1L)+1张进口商贴纸
 贴纸AW、位置图翻单如下：
 77485-4500131403
 所有item的贴纸图稿一模一样，请一起订购节省成本。
Remark: </t>
  </si>
  <si>
    <t>94491-3.7</t>
  </si>
  <si>
    <t>4500154604-140</t>
  </si>
  <si>
    <t>UPC贴纸/进口商贴纸翻单PO4500137056</t>
  </si>
  <si>
    <r>
      <rPr>
        <sz val="10"/>
        <rFont val="等线"/>
        <charset val="134"/>
      </rPr>
      <t>日期码格式：ZURU INC(BVI) 标准格式 日期：按实际生产日期
Packaging Info: 
 77485GQ7:MA 3LEAN包装+UPC贴纸+进口商贴纸+价标贴纸+箱唛，</t>
    </r>
    <r>
      <rPr>
        <sz val="10"/>
        <color rgb="FFFF0000"/>
        <rFont val="等线"/>
        <charset val="134"/>
      </rPr>
      <t>UPC贴纸/进口商贴纸翻单PO4500137056</t>
    </r>
    <r>
      <rPr>
        <sz val="10"/>
        <rFont val="等线"/>
        <charset val="134"/>
      </rPr>
      <t xml:space="preserve">
Remark: 1. 此单价格贴纸（ZURU定购).
2.此单有第三方监柜，不用额外准备备品，会在大货中每款拆1pc，拆了包装的产品会由监装员用客供胶带封好或在外箱上写上""opened by telescope”</t>
    </r>
  </si>
  <si>
    <t>94525-3.12</t>
  </si>
  <si>
    <t>Fratello (PTY) Ltd</t>
  </si>
  <si>
    <t>4500155828-30</t>
  </si>
  <si>
    <t>77485SK1-S002</t>
  </si>
  <si>
    <r>
      <rPr>
        <sz val="11"/>
        <rFont val="Arial"/>
        <charset val="134"/>
      </rPr>
      <t>3</t>
    </r>
    <r>
      <rPr>
        <sz val="11"/>
        <rFont val="宋体"/>
        <charset val="134"/>
      </rPr>
      <t>代迷你小手袋</t>
    </r>
    <r>
      <rPr>
        <sz val="11"/>
        <rFont val="Arial"/>
        <charset val="134"/>
      </rPr>
      <t xml:space="preserve">
</t>
    </r>
    <r>
      <rPr>
        <sz val="11"/>
        <rFont val="宋体"/>
        <charset val="134"/>
      </rPr>
      <t>展示架</t>
    </r>
    <r>
      <rPr>
        <sz val="11"/>
        <rFont val="Arial"/>
        <charset val="134"/>
      </rPr>
      <t>/</t>
    </r>
    <r>
      <rPr>
        <sz val="11"/>
        <rFont val="宋体"/>
        <charset val="134"/>
      </rPr>
      <t>带底座</t>
    </r>
  </si>
  <si>
    <r>
      <rPr>
        <sz val="10"/>
        <rFont val="等线"/>
        <charset val="134"/>
      </rPr>
      <t>日期码格式：ZURU INC(BVI) 标准格式 日期：按实际生产日期
Packaging Info:
 77485SK1: 展架MA</t>
    </r>
    <r>
      <rPr>
        <sz val="10"/>
        <color rgb="FFFF0000"/>
        <rFont val="等线"/>
        <charset val="134"/>
      </rPr>
      <t xml:space="preserve"> 3L</t>
    </r>
    <r>
      <rPr>
        <sz val="10"/>
        <rFont val="等线"/>
        <charset val="134"/>
      </rPr>
      <t xml:space="preserve"> PKG, 收缩膜MA 1L PKG, 收藏指南MA 5L PKG
Remark:</t>
    </r>
  </si>
  <si>
    <t>94513-3.11</t>
  </si>
  <si>
    <t>SEARS MEXICO</t>
  </si>
  <si>
    <t>4500153293-10</t>
  </si>
  <si>
    <t>日期码格式：ZURU INC(BVI) 标准格式 日期：按实际生产日期
Packaging Info: 77485GQ7：MA 5L 收藏指南+MA 3L 包装+UPC 贴纸+MA 3L PDQ 包装+进口商贴纸+箱唛
Remark:</t>
  </si>
  <si>
    <t>94489-3.7</t>
  </si>
  <si>
    <t>4500156777-10</t>
  </si>
  <si>
    <t>94542-3.13</t>
  </si>
  <si>
    <t>4500156374-80</t>
  </si>
  <si>
    <t>此单有第三方监柜，需要每款多备1套完整物料</t>
  </si>
  <si>
    <t>日期码格式：ZURU INC(BVI) 标准格式 日期：按实际生产日期 
Packaging Info: 77485GQ7:MA 3L EAN包装+UPC贴纸+MA 3L PDQ+外箱贴纸+进口商贴纸+箱唛
Remark: 此单有第三方监柜，需要每款多备1套完整物料</t>
  </si>
  <si>
    <t>94515-3.11</t>
  </si>
  <si>
    <t>4500154624-140</t>
  </si>
  <si>
    <t>日期码格式：ZURU INC(BVI) 标准格式 日期：按实际生产日期 
Packaging Info: 
77485GQ7:MA 3LEAN包装+UPC贴纸+进口商贴纸+价标贴纸+箱唛，UPC贴纸/进口商贴纸翻单PO4500137056
Remark: 1. 此单价格贴纸（ZURU定购).
2.此单有第三方监柜，不用额外准备备品，会在大货中每款拆1pc，拆了包装的产品会由监装员用客供胶带封好或在外箱上写上""opened by telescope”</t>
  </si>
  <si>
    <t>94698-4.3</t>
  </si>
  <si>
    <t>0891979243
ELWOOD</t>
  </si>
  <si>
    <t>4500156438-10</t>
  </si>
  <si>
    <t>ZB00011-3.19</t>
  </si>
  <si>
    <t>0891979244
RIDGEVILLE SC</t>
  </si>
  <si>
    <t>4500156438-20</t>
  </si>
  <si>
    <t>ZB00036</t>
  </si>
  <si>
    <t>0891979249
MOBILE</t>
  </si>
  <si>
    <t>4500156438-30</t>
  </si>
  <si>
    <t>ZB00032</t>
  </si>
  <si>
    <t>0891979260
HOUSTON</t>
  </si>
  <si>
    <t>4500156438-40</t>
  </si>
  <si>
    <t>0891979261 STATESBORO</t>
  </si>
  <si>
    <t>4500156438-50</t>
  </si>
  <si>
    <t>ZB00072</t>
  </si>
  <si>
    <t>0891979269
SUFFOLK</t>
  </si>
  <si>
    <t>4500156438-60</t>
  </si>
  <si>
    <t>ZB00077</t>
  </si>
  <si>
    <t>0897254649</t>
  </si>
  <si>
    <t>4500157306-10</t>
  </si>
  <si>
    <t>ZB00014-3.19</t>
  </si>
  <si>
    <t>Ambiental Paraguay</t>
  </si>
  <si>
    <t>巴拉圭</t>
  </si>
  <si>
    <t>4500156544-60</t>
  </si>
  <si>
    <t>日期码格式：ZURU INC(BVI) 标准格式 日期：按实际生产日期 
Packaging Info: 77485GQ6:MA 3L EAN包装+进口商贴纸（进口商贴纸+UPC贴纸合并为一张）+箱唛
Remark:</t>
  </si>
  <si>
    <t>94726-4.8</t>
  </si>
  <si>
    <t>77485GQ6-S001-3L</t>
  </si>
  <si>
    <t>4500158356-110</t>
  </si>
  <si>
    <t xml:space="preserve">日期码格式：ZURU INC(BVI) 标准格式 日期：按实际生产日期 
Packaging Info: 
 77485GQ7: MA多语EAN包装+UPC贴纸+MA PDQ包装+箱唛
Remark: </t>
  </si>
  <si>
    <t>94687-4.1</t>
  </si>
  <si>
    <t>ZMPO250257</t>
  </si>
  <si>
    <t>142空球</t>
  </si>
  <si>
    <t>Remark:大货最新版本/142PCS空球要用大货收缩膜收缩好;备注： 收到样品订单后尽快安排 ，注意样板品质质量要求要高于大货品质质量 ，送货时必须要附带送货单(没有送货单和QC检验合格报告的仓库一律拒绝收货)，请知悉，谢谢！</t>
  </si>
  <si>
    <t>Angus</t>
  </si>
  <si>
    <t>7套散件</t>
  </si>
  <si>
    <t>Remark:大货最新版本/只需要齐全套散件，每款散件不要用纸袋子装，用透明塑胶袋装即可/麻烦用胶袋分装好一套为一袋;备注： 收到样品订单后尽快安排 ，注意样板品质质量要求要高于大货品质质量 ，送货时必须要附带送货单(没有送货单和QC检验合格报告的仓库一律拒绝收货)，请知悉，谢谢！</t>
  </si>
  <si>
    <t>CatchMe.lk (PVT) LTD</t>
  </si>
  <si>
    <t>斯里兰卡</t>
  </si>
  <si>
    <t>4500159239-10</t>
  </si>
  <si>
    <t>日期码格式：ZURU INC(BVI) 标准格式 日期：按实际生产日期
Packaging Info: MA PKG, 优先1L(UPC 条码）
Remark: 出斯里兰卡，需送货到汕头仓库</t>
  </si>
  <si>
    <t>94841-4.25</t>
  </si>
  <si>
    <t>Walmart Central America</t>
  </si>
  <si>
    <t>4500158302-40</t>
  </si>
  <si>
    <t>3/24，使用双坑外箱</t>
  </si>
  <si>
    <t>日期码格式：ZURU INC(BVI) 标准格式 日期：按实际生产日期 
Packaging Info: 1. 77485GQ7：MA 3L EAN包装+UPC贴纸+MA 3L PDQ包装+MA多语收藏指南+进口商贴纸+箱唛
Remark: 1.使用双坑外箱
 2.请注意产品包装条形码必须是UPC
 3.无第三方验货</t>
  </si>
  <si>
    <t>94865-4.28</t>
  </si>
  <si>
    <t>Walmart Central America-NI</t>
  </si>
  <si>
    <t>尼加拉瓜</t>
  </si>
  <si>
    <t>4500158358-20</t>
  </si>
  <si>
    <t>日期码格式：ZURU INC(BVI) 标准格式 日期：按实际生产日期
Packaging Info: 1. 77485GQ7：MA 3L EAN包装+UPC贴纸+MA 3L PDQ包装+MA多语收藏指南+进口商贴纸+箱唛
 所有贴纸翻单PO 4500158302
Remark: 1.使用双坑外箱
 2.请注意产品包装条形码必须是UPC
 3.无第三方验货</t>
  </si>
  <si>
    <t>94934-5.6</t>
  </si>
  <si>
    <t>Walmart Central America-HN</t>
  </si>
  <si>
    <t>洪都拉斯</t>
  </si>
  <si>
    <t>4500158415-40</t>
  </si>
  <si>
    <t>日期码格式：ZURU INC(BVI) 标准格式 日期：按实际生产日期 
Packaging Info: 1. 77485GQ7：MA 3L EAN包装+UPC贴纸+MA 3L PDQ包装+MA多语收藏指南+进口商贴纸+箱唛
 以上所有贴纸翻单PO4500158302
Remark: 1.使用双坑外箱
 2.请注意产品包装条形码必须是UPC
 3.无第三方验货</t>
  </si>
  <si>
    <t>94891-4.30</t>
  </si>
  <si>
    <t>Walmart Central America-CR</t>
  </si>
  <si>
    <t>4500158535-40</t>
  </si>
  <si>
    <t>日期码格式：ZURU INC(BVI) 标准格式 日期：按实际生产日期
Packaging Info: 1.77485GQ7：MA 3L EAN包装+UPC贴纸+MA 3L PDQ包装+MA多语收藏指南+进口商贴纸+箱唛
 以上贴纸翻单PO 4500158302
Remark: 1.使用双坑外箱
 2.请注意产品包装条形码必须是UPC
 3.无第三方验货</t>
  </si>
  <si>
    <t>94882-4.29</t>
  </si>
  <si>
    <t>Walmart Central America-GT</t>
  </si>
  <si>
    <t>4500158447-40</t>
  </si>
  <si>
    <t>94923-5.5</t>
  </si>
  <si>
    <t>Distruibuciones Universales, SA - D</t>
  </si>
  <si>
    <t>4500160421-90</t>
  </si>
  <si>
    <t xml:space="preserve">日期码格式：ZURU INC(BVI) 标准格式 日期：按实际生产日期
Packaging Info: 
77485GQ7: MA多语EAN包装+UPC贴纸+MA多语收藏指南+MA多语PDQ+箱唛
Remark: </t>
  </si>
  <si>
    <t>94795-4.18</t>
  </si>
  <si>
    <t>0906735630
EASTVALE</t>
  </si>
  <si>
    <t>4500161593-10</t>
  </si>
  <si>
    <t>4/29 第三方验货</t>
  </si>
  <si>
    <t>ZB00227-5.9</t>
  </si>
  <si>
    <t>0906735634
HOUSTON</t>
  </si>
  <si>
    <t>4500161593-20</t>
  </si>
  <si>
    <t>ZB00226-5.9</t>
  </si>
  <si>
    <t>MTA Trade</t>
  </si>
  <si>
    <t>哈萨克斯坦</t>
  </si>
  <si>
    <t>4500160671-80</t>
  </si>
  <si>
    <t>进口商贴纸(翻PO4500148660)</t>
  </si>
  <si>
    <t>日期码格式：ZURU INC(BVI) 标准格式 日期：按实际生产日期
Packaging Info:
77485GQ6：MA UPC 收缩膜（优先1L)+进口商贴纸(翻PO4500148660);MA指南;MA PDQ(优先1L)
Remark:
标准配比</t>
  </si>
  <si>
    <t>Cora Zhou</t>
  </si>
  <si>
    <t>94843-4.25</t>
  </si>
  <si>
    <t>Amazon
UK:5VZ9DDZU</t>
  </si>
  <si>
    <t>4500160662-20</t>
  </si>
  <si>
    <t>空白外箱（加印带Zuru字样的最新logo，除了邮包盒直接做外箱的产品） + SSCC LABEL一张, 无箱唛，MADE IN CHINA 外箱只印一正一侧。箱唛资料按照给定的
标准去做即可，无需发回我方再行审批(新标准将另行通知)。</t>
  </si>
  <si>
    <t>日期码格式：ZURU INC(BVI) 标准格式 日期：按实际生产日期
Packaging Info: Amazon UK(15701A/15711B/71109D/71126/77486/92104H/9296A/9548)/FR(77555)/DE(9258G)
5. 77486：2pcs 77485入PVC tube, 12tubes/ctn; MA 1L收缩膜包装(无barcode)+MA 3L(5L warning)C收藏指南+其他最新版MA包装，客版 3L(5L warning)彩卡包装
+1张贴纸(IT环保标); capsule need to use "no barcode"shrink wrap version 参考翻单PO#4500114776;
11. 最迟验货不得晚于2025/4/30;
Remark: 1.空白外箱（加印带Zuru字样的最新logo，除了邮包盒直接做外箱的产品） + SSCC LABEL一张, 无箱唛，MADE IN CHINA 外箱只印一正一侧。箱唛资料按照给定的
标准去做即可，无需发回我方再行审批(新标准将另行通知)。
(SSCC LABEL竖贴在外箱正面的正中间，贴一面即可,贴纸离外箱边距必须至少3.2CM。如竖贴无法满足要求，则横贴。如横贴也无法满足要求，则竖贴，遮到ZURU lo
go无影响), SSCC贴纸由工厂直接跟勤得采购或者工厂自行采购，每一张SSCC Label都是唯一且有不同流水及条码，且需要检查条码是否能正常扫描，另外，此贴纸
印刷不可出现模糊，溢出及粘胶不牢易脱落等现象，如工厂不按此要求导致贴纸有任何问题产生的罚款将由工厂承担一切责任 。
2.出往UK的产品+包装务必打上UKCA logo ，否则客人会退货且当地会有罚款。
3.订单必须经过ZURU QC验货并且通过后方可出货。
4.法国订单要求包装不使用矿物油，请按要求提供以下其中一份文件再出货 ，产品出到法国被相关部门抽检出现包装不符合此要求的，供应商需要为此承担责任，
故此请严格把关。
-油墨物质""由1 ~ 7个芳香环组成的MOAH""的包装检测报告，要求限值≤1.0%；
-包装材料清单，包括包装油墨或物质的信息；
-油墨制造商的证书；
5.每一批次出货只能有一个生产日期，不可多个生产日期混在同一批次出货；且邮包盒上必须统一加上日期码；外箱对于日期码没有硬性规定；
6.涉及到相关款式会有闪粉的或者微塑料的，请统一默认出无闪粉或者不含微塑料版本；
7.邮包盒及外箱封箱必须是工字型封箱方式；
8.5 Surprise or Mini Brands涉及包装是2个及2个以上的球入PVC桶包装时，单个球上若有UPC#或者EAN#，请用白色贴纸覆盖住；</t>
  </si>
  <si>
    <t>95011-5.17</t>
  </si>
  <si>
    <t>TOY KINGDOM (PTY) LTD</t>
  </si>
  <si>
    <t>4500161136-40</t>
  </si>
  <si>
    <t>日期码格式：ZURU INC(BVI) 标准格式 日期：按实际生产日期
Packaging Info: MA PKG ,优先1L
Remark:</t>
  </si>
  <si>
    <t>94837-4.24</t>
  </si>
  <si>
    <t>PO# 34715</t>
  </si>
  <si>
    <t>4500162408-20</t>
  </si>
  <si>
    <t>5/19出货</t>
  </si>
  <si>
    <t>Sia Liu</t>
  </si>
  <si>
    <t>ZB00271-5.19</t>
  </si>
  <si>
    <t>4500160573-10</t>
  </si>
  <si>
    <t xml:space="preserve"> 此单有第三方监柜，至少多备一套完整的物料用于监柜，请多备料。
 5.WM墨西哥防霉的新要求:货物必须在出货主箱和集装箱中按要求放置干燥剂，干燥剂指定品牌干霸
77485GQ7：需要在每箱放入6小包干燥剂，每包干燥剂重量2g
 如走柜货等loading plan 确认后再通知集装箱干燥剂数量</t>
  </si>
  <si>
    <r>
      <rPr>
        <sz val="10"/>
        <rFont val="等线"/>
        <charset val="134"/>
      </rPr>
      <t xml:space="preserve">日期码格式：LOTDGYYYYMMDD 日期：按实际生产日期
Packaging Info: 1. 77485GQ7： 3L MA EAN 收缩膜+新UPC条码贴纸+进口商贴纸+MA 5L 收藏指南+MA 3L PDQ+箱唛；
Remark: 1. 客版日期码要求：LOT+ZURU标准日期码格式。东莞生产的格式：LOTDGYYYYMMDD, DG是东莞拼音首字母，
YYYYMMDD是实际的年月日，例如(LOTDG20240920)
 4. 此单有第三方监柜，至少多备一套完整的物料用于监柜，请多备料。
 5.WM墨西哥防霉的新要求:货物必须在出货主箱和集装箱中按要求放置干燥剂，干燥剂指定品牌干霸
77485GQ7：需要在每箱放入6小包干燥剂，每包干燥剂重量2g
 如走柜货等loading plan 确认后再通知集装箱干燥剂数量
</t>
    </r>
    <r>
      <rPr>
        <sz val="10"/>
        <color rgb="FFFF0000"/>
        <rFont val="等线"/>
        <charset val="134"/>
      </rPr>
      <t xml:space="preserve"> 此单兴信将安排8*40HC柜子，每个HC需要放置10包干燥剂，每包干燥剂1KG</t>
    </r>
  </si>
  <si>
    <t>95123-5.29</t>
  </si>
  <si>
    <t>4500162922-60</t>
  </si>
  <si>
    <t>5/16 第三方验货</t>
  </si>
  <si>
    <t>日期码格式：ZURU INC(BVI) 标准格式 日期：按实际生产日期
Packaging Info: 77485GQ7:MA 3L EAN包装+UPC贴纸+箱唛，无进口商贴纸
Remark: 订单需第三方（QIMA)验货，无需签板，请多备料。
外箱上的箱唛资料会显示日期30-MAY-2025,产品/包装/外箱可以按ZURU 标准日期码打，也可以跟回外箱日期码，工厂自行选择,两者均可接受</t>
  </si>
  <si>
    <t>95154-5.30</t>
  </si>
  <si>
    <t>4500159286-40</t>
  </si>
  <si>
    <t>日期码格式：ZURU INC(BVI) 标准格式 日期：按实际生产日期
Packaging Info:
77485GQ7: MA 3L EAN 收缩膜+ 进口商贴纸 +MA收藏指南; MA PDQ
Remark: 
77485GQ7: With 4 Demo</t>
  </si>
  <si>
    <t>95406-6.24</t>
  </si>
  <si>
    <t>Dream Blossom Ltd</t>
  </si>
  <si>
    <t>PO004</t>
  </si>
  <si>
    <t>4500163667-10</t>
  </si>
  <si>
    <r>
      <rPr>
        <sz val="10"/>
        <rFont val="等线"/>
        <charset val="134"/>
      </rPr>
      <t xml:space="preserve">日期码格式：ZURU INC(BVI) 标准格式 日期：按实际生产日期
Packaging Info: MA 1L PKG+1张日语贴纸, </t>
    </r>
    <r>
      <rPr>
        <sz val="10"/>
        <color rgb="FFFF0000"/>
        <rFont val="等线"/>
        <charset val="134"/>
      </rPr>
      <t>收缩膜和收藏指南上需各加一张6+贴纸覆盖原本的3+。</t>
    </r>
    <r>
      <rPr>
        <sz val="10"/>
        <rFont val="等线"/>
        <charset val="134"/>
      </rPr>
      <t xml:space="preserve">
Remark: 出日本， 待客户确认是否需寄板做QC check。</t>
    </r>
  </si>
  <si>
    <t>95076-5.26</t>
  </si>
  <si>
    <t>Amazon CA (Vendor Center)</t>
  </si>
  <si>
    <t>7KBF18JF</t>
  </si>
  <si>
    <t>4500163897-180</t>
  </si>
  <si>
    <t>日期码格式：ZURU INC(BVI) 标准格式 日期：按实际生产日期
Packaging Info: #77486 2PK #77485入PVC圆筒。收藏指南用MA 5L, 收缩膜用MA 3L+空白UPC贴纸， 空白UPC贴纸图稿跟翻单#4500128507。2PK 3L铜版纸图稿跟返单4500141223 。
（两个球的配比不能重复）。
Remark: 1. Amazon FOB订单，出口CA。外箱最长边不能超过25" （超过了，case pack只能为1），不符合要求的大货，一律不接受。
2. 外箱正面印ZURU Logo + SSCC LABEL（客供贴纸)，侧面印item#（订单上显示的SKU#) + carton size(以工厂实际尺寸为准，单位: inch) + MADE IN CHINA，
日期使用ZURU 标准版本 SSCC Label 显示的是客人自己的item#，SSCC Label 贴在外箱正面的正中间，贴一面即可，跟单订购，贴纸离外箱距必须至少3cm，每一
张SSCC label 都是唯一且有不同流水及条码的，没有损耗，绝对不可贴错 ，否则贴错或损坏一张会导致全部都错，千万要注意: SSCC 贴纸务必要在正中间(可以覆
盖Logo &lt;(&gt;&amp;&lt;)&gt; 箱唛)，否则会影响到仓库扫描识别。
3. 日期码使用ZURU标准版本。
4. 如果大货有要求入邮包盒，则对应的邮包盒上面要打上日期码。
5. 按照客户PO# 装柜/箱号顺序装柜，跟单会提前给到装柜计划。在大货生产/仓库存放时，请留意该装柜要求，以便装柜时不混乱（避免装错/装漏/找不到货号等
）。
6. 出口加拿大，包装需要至少2/3L UPC版，无硼版本。
7.邮包盒上要印刷日期码</t>
  </si>
  <si>
    <t>95153-5.30</t>
  </si>
  <si>
    <t>77486-S001-3L（无闪粉）</t>
  </si>
  <si>
    <t>7CWDLS4X</t>
  </si>
  <si>
    <t>4500163897-190</t>
  </si>
  <si>
    <t>Jiwildy Ltd</t>
  </si>
  <si>
    <t>毛里求斯</t>
  </si>
  <si>
    <t>4500163069-10</t>
  </si>
  <si>
    <r>
      <rPr>
        <sz val="10"/>
        <rFont val="等线"/>
        <charset val="134"/>
      </rPr>
      <t>日期码格式：ZURU INC(BVI) 标准格式 日期：按实际生产日期
Packaging Info:</t>
    </r>
    <r>
      <rPr>
        <sz val="10"/>
        <color rgb="FFFF0000"/>
        <rFont val="等线"/>
        <charset val="134"/>
      </rPr>
      <t xml:space="preserve"> MA PKG, 优先1L（全部为 UPC 12位数字的条码）</t>
    </r>
    <r>
      <rPr>
        <sz val="10"/>
        <rFont val="等线"/>
        <charset val="134"/>
      </rPr>
      <t xml:space="preserve">
Remark:</t>
    </r>
  </si>
  <si>
    <t>95208-6.5</t>
  </si>
  <si>
    <t>PI:1100028524
出RU</t>
  </si>
  <si>
    <t>4500162852-40</t>
  </si>
  <si>
    <t>6/10 出货</t>
  </si>
  <si>
    <r>
      <rPr>
        <sz val="10"/>
        <rFont val="等线"/>
        <charset val="134"/>
      </rPr>
      <t xml:space="preserve">日期码格式：ZURU INC(BVI) 标准格式 日期：按实际生产日期
Packaging Info: 77485GQ6：MA 1L 收缩膜+进口商贴纸； MA 说明书/指南（如有）；MA PDQ；
Remark: 标准配比
</t>
    </r>
    <r>
      <rPr>
        <sz val="10"/>
        <color rgb="FFFF0000"/>
        <rFont val="等线"/>
        <charset val="134"/>
      </rPr>
      <t>出两个国家 ；</t>
    </r>
  </si>
  <si>
    <t>CORA ZHOU</t>
  </si>
  <si>
    <t>95287-6.10</t>
  </si>
  <si>
    <t>4500163057-10</t>
  </si>
  <si>
    <t>此单每款需要准备1pc的监柜样板，请知悉并安排，谢谢</t>
  </si>
  <si>
    <t>6/9 出货</t>
  </si>
  <si>
    <t>空白外箱加印ZURU Logo+MADE IN CHINA+SSCC LABEL(客供贴纸），无shipping mark,日期使用ZURU 标准版本。SSCC Label显示的是客人自己的item#，SSCC Lab
el 贴在外箱正面的正中间，贴一面即可，跟单订购，贴纸离外箱距必须至少3cm,每一张SSCC Label都是唯一且有不同流水及条码的，没有损耗，绝对不可贴错，否
则贴错或损坏一张会导致全部都错，千万要注意！</t>
  </si>
  <si>
    <t>日期码格式：ZURU INC(BVI) 标准格式 日期：按实际生产日期
Packaging Info: 1. 77486 2PK #77485入PVC圆筒。收藏指南用MA 5L+收缩膜用MA 3L+空白条码贴纸+2PK铜版纸图稿跟返单4500112191+进口商贴纸+SSCC label.（两个球的配比不能
重复）。
Remark: 1. Amazon FOB订单，出口Mexico，外箱最长边不能超过25" （超过了，case pack只能为1），不符合要求的大货，一律不接受。
2. 空白外箱加印ZURU Logo+MADE IN CHINA+SSCC LABEL(客供贴纸），无shipping mark,日期使用ZURU 标准版本。SSCC Label显示的是客人自己的item#，SSCC Lab
el 贴在外箱正面的正中间，贴一面即可，跟单订购，贴纸离外箱距必须至少3cm,每一张SSCC Label都是唯一且有不同流水及条码的，没有损耗，绝对不可贴错，否
则贴错或损坏一张会导致全部都错，千万要注意！
3. 日期码使用ZURU标准版</t>
  </si>
  <si>
    <t>4500163057-70</t>
  </si>
  <si>
    <t>4500164861-90</t>
  </si>
  <si>
    <t>进口商贴纸和UPC贴纸翻单PO4500156374</t>
  </si>
  <si>
    <t>日期码格式：ZURU INC(BVI) 标准格式 日期：按实际生产日期
Packaging Info:77485GQ7:MA 3L EAN包装+进口商贴纸+UPC贴纸+外箱贴纸+箱唛，进口商贴纸和UPC贴纸翻单PO4500156374
Remark: 此单有第三方监柜，需要每款多备1套完整物料</t>
  </si>
  <si>
    <t>95250-6.9</t>
  </si>
  <si>
    <t xml:space="preserve"> WALMART INC.</t>
  </si>
  <si>
    <t>0917251810</t>
  </si>
  <si>
    <t>4500166203-10</t>
  </si>
  <si>
    <t>6/9 自检</t>
  </si>
  <si>
    <t>箱印刷带条码的RFID箱唛：RFID紫色色带+WM Dept.图标+RFID图标+ITF-14条码，四面右下角印刷ZURU logo, ITFF条码只印刷在正唛一面，在加印的时候确保
 条形码能扫描出来，外箱侧面任一角落加印："MADE IN CHINA" 字样；</t>
  </si>
  <si>
    <t>日期码格式：ZURU DGYYYYMMDD CHINA(日期避开周末和法定节假日即可） 日期：按实际生产日期
Packaging Info: 77485SLB-S004
 1.包装要求：
 MA 1L收缩膜+ 客版 收藏指南B版+MA 纸袋+客版 1L PDQ，翻单：4500128976
每pcs产品上要贴1张RFID贴纸，贴纸由ZURU提供，贴纸位置请严格按照我们签回的签板；
Remark: 77485SLB-S004
 1.包装要求：
 MA 1L收缩膜+ 客版 收藏指南B版+MA 纸袋+客版 1L PDQ，翻单：4500128976
每pcs产品上要贴1张RFID贴纸，贴纸由ZURU提供，贴纸位置请严格按照我们签回的签板；
 2. 外箱印刷带条码的RFID箱唛：RFID紫色色带+WM Dept.图标+RFID图标+ITF-14条码，四面右下角印刷ZURU logo, ITFF条码只印刷在正唛一面，在加印的时候确保
 条形码能扫描出来，外箱侧面任一角落加印："MADE IN CHINA" 字样；
 3. 每个slip sheet上面贴一张艾利贴纸（不干胶贴纸）和一张普通贴纸（A4纸），slip sheet打印的普通贴纸的尺寸不能比艾利贴纸小，普通贴纸内容见附件；
 4. 在产品上和包装上要有日期码、以及要有MADE IN CHINA和ZURU字样；
 5. 产品如有扎带口要剪平，不能刮手。
 6. 此单需要验货，请多备料
 7. 此单以slip sheet出货，77485：1152pcs/96CTN/Slip Sheet</t>
  </si>
  <si>
    <t xml:space="preserve"> Maggie Xie</t>
  </si>
  <si>
    <t>ZB00476-6.14</t>
  </si>
  <si>
    <t>0917251814</t>
  </si>
  <si>
    <t>4500166203-20</t>
  </si>
  <si>
    <t>ZB00477-6.14</t>
  </si>
  <si>
    <t>0917251815</t>
  </si>
  <si>
    <t>4500166203-30</t>
  </si>
  <si>
    <t>ZB00536-6.21</t>
  </si>
  <si>
    <t xml:space="preserve"> MODELTOYS LTD</t>
  </si>
  <si>
    <t>马耳他</t>
  </si>
  <si>
    <t>4500165702-10</t>
  </si>
  <si>
    <t>日期码格式：ZURU INC(BVI) 标准格式 日期：按实际生产日期
Packaging Info: 77485GQ7：B 版 1L MA 收缩膜+进口商贴纸；B版 5L MA 收藏指南/A 版1L MA PDQ
Remark: 1、若产品有比例使用ZURU STD 比例
 2、所有item 均用MA UPC 条码，若包装不是UPC 条码的请告知
 3、此单出欧洲需满足EU测试标准要求</t>
  </si>
  <si>
    <t xml:space="preserve"> Snowy</t>
  </si>
  <si>
    <t>95374-6.21</t>
  </si>
  <si>
    <t xml:space="preserve"> AMIC TRADING (PTY) LTD</t>
  </si>
  <si>
    <t xml:space="preserve"> 6006-007111</t>
  </si>
  <si>
    <t>4500165851-80</t>
  </si>
  <si>
    <t>日期码格式：ZURU INC(BVI) 标准格式 日期：按实际生产日期
Packaging Info: MA 1L PKG ;
 MA 5L 收藏指南， MA说明书+ 1 张进口商贴纸（不得遮挡日期码）
(进口商贴纸新稿，后续新单以新版进口商贴纸为准，适用该客户订单的所有产品）
Remark:</t>
  </si>
  <si>
    <t xml:space="preserve"> Doris Shou</t>
  </si>
  <si>
    <t>95460-6.20</t>
  </si>
  <si>
    <t>COL66-25-FALL</t>
  </si>
  <si>
    <t>4500163691-210</t>
  </si>
  <si>
    <t>日期码格式：DG20250520</t>
  </si>
  <si>
    <t>日期码格式：DG20250520 日期：
Packaging Info:
77485GQ2:MA 3L EAN 包装+进口商贴纸+UPC贴纸+箱唛
Remark:</t>
  </si>
  <si>
    <t>95523-7.1</t>
  </si>
  <si>
    <t>Ramp-s Corporation</t>
  </si>
  <si>
    <t>PO4-25-0009</t>
  </si>
  <si>
    <t>4500167360-10</t>
  </si>
  <si>
    <t>日期码格式：ZURU INC(BVI) 标准格式 日期：按实际生产日期
Packaging Info: 77485GQ7-MA UPC包装（优先1L)+1张进口商贴纸,
Remark:</t>
  </si>
  <si>
    <t>95441-6.27</t>
  </si>
  <si>
    <t>0919543642</t>
  </si>
  <si>
    <t>4500167618-10</t>
  </si>
  <si>
    <t>ZB00594-6.27</t>
  </si>
  <si>
    <t>0919543650</t>
  </si>
  <si>
    <t>4500167618-20</t>
  </si>
  <si>
    <t>ZB00652-7.4</t>
  </si>
  <si>
    <t>0919543661</t>
  </si>
  <si>
    <t>4500167618-30</t>
  </si>
  <si>
    <t>ZB00721-7.10</t>
  </si>
  <si>
    <t>0919543669</t>
  </si>
  <si>
    <t>4500167618-40</t>
  </si>
  <si>
    <t>ZB00755-7.15</t>
  </si>
  <si>
    <t>ToyChamp Belgium nv</t>
  </si>
  <si>
    <t>比利时</t>
  </si>
  <si>
    <t>250400000359</t>
  </si>
  <si>
    <t>4500166992-30</t>
  </si>
  <si>
    <t>日期码格式：ZURU INC(BVI) 标准格式 日期：按实际生产日期
Packaging Info:
3.77485GQ7：MA 3L+5L EAN收缩膜+1张荷兰语警告语贴纸+MA 5L+21L收藏指南+MA 3L PDQ；
Remark: 1.STD配比；
2.外箱需要印条码，请确保条码可以清晰扫描且条码内容正确；
3.出欧洲，微塑料需合规（如item本身不含微塑料,则忽略此要求）;
4.所有产品需要符合REACH申明。</t>
  </si>
  <si>
    <t>95850-7.31</t>
  </si>
  <si>
    <t>NASA Panama</t>
  </si>
  <si>
    <t>4500168705-50</t>
  </si>
  <si>
    <t>日期码格式：ZURU INC(BVI) 标准格式 日期：按实际生产日期
Packaging Info:77485GQ7:MA多语EAN+UPC贴纸+箱唛
Remark: 请确保包装上的条形码是UPC，如有不一致，请及时提出。谢谢！</t>
  </si>
  <si>
    <t>95628-7.12</t>
  </si>
  <si>
    <t>4500168463-90</t>
  </si>
  <si>
    <t>95582-7.7</t>
  </si>
  <si>
    <t>2I877DQQ</t>
  </si>
  <si>
    <t>4500168205-30</t>
  </si>
  <si>
    <t>6/17 空白UPC贴纸图稿跟翻单#4500128507</t>
  </si>
  <si>
    <r>
      <rPr>
        <sz val="12"/>
        <rFont val="宋体"/>
        <charset val="134"/>
        <scheme val="minor"/>
      </rPr>
      <t xml:space="preserve">日期码格式：ZURU INC(BVI) 标准格式 日期：按实际生产日期
Packaging Info: 出口加拿大，包装需要至少2/3L UPC版，无硼版本。
#77486 :2PK #77485入PVC圆筒. 收缩膜用MA 3L+空白UPC贴纸， 空白UPC贴纸图稿跟翻单#4500128507。2PK 3L铜版纸图稿跟返单4500141223 。 </t>
    </r>
    <r>
      <rPr>
        <sz val="12"/>
        <color rgb="FFFF0000"/>
        <rFont val="宋体"/>
        <charset val="134"/>
        <scheme val="minor"/>
      </rPr>
      <t>（两个球的配比
不能重复）。 打5月份的日期码</t>
    </r>
    <r>
      <rPr>
        <sz val="12"/>
        <rFont val="宋体"/>
        <charset val="134"/>
        <scheme val="minor"/>
      </rPr>
      <t xml:space="preserve">
Remark: 1. Amazon FOB订单，出口CA。外箱最长边不能超过25" （超过了，case pack只能为1），不符合要求的大货，一律不接受。
2. 外箱正面印ZURU Logo + SSCC LABEL（客供贴纸)，侧面印item#（订单上显示的SKU#) + carton size(以工厂实际尺寸为准，单位: inch) + MADE IN CHINA，
日期使用ZURU 标准版本 SSCC Label 显示的是客人自己的item#，SSCC Label 贴在外箱正面的正中间，贴一面即可，跟单订购，贴纸离外箱距必须至少3cm，每一
张SSCC label 都是唯一且有不同流水及条码的，没有损耗，绝对不可贴错 ，否则贴错或损坏一张会导致全部都错，千万要注意: SSCC 贴纸务必要在正中间(可以覆
盖Logo &lt;(&gt;&amp;&lt;)&gt; 箱唛)，否则会影响到仓库扫描识别。
3. 日期码使用ZURU标准版本。
4. 如果大货有要求入邮包盒，则对应的邮包盒上面要打上日期码。
5. 按照客户PO# 装柜/箱号顺序装柜，跟单会提前给到装柜计划。在大货生产/仓库存放时，请留意该装柜要求，以便装柜时不混乱（避免装错/装漏/找不到货号等
）。
6. 出口加拿大，包装需要至少2/3L UPC版，无硼版本。
7.邮包盒上要印刷日期码</t>
    </r>
  </si>
  <si>
    <t>95673-7.17</t>
  </si>
  <si>
    <t>4500173135-20</t>
  </si>
  <si>
    <t>转单4500168594</t>
  </si>
  <si>
    <t>日期码格式：ZURU INC(BVI) 标准格式 日期：按实际生产日期
Packaging Info: 77485GQ7:MA多语EAN+UPC贴纸+箱唛
Remark: 请确保包装上的条形码是UPC，如有不一致，请及时提出。谢谢！</t>
  </si>
  <si>
    <t>95691-7.18</t>
  </si>
  <si>
    <t>系统转单</t>
  </si>
  <si>
    <t>ZMPO250522</t>
  </si>
  <si>
    <t>15套散件</t>
  </si>
  <si>
    <t>Remark:大货最新版本/只需要齐全套散件，每款散件不要用纸袋子装，用透明塑胶袋装即可/麻烦用胶袋分装好一套为一袋                                                                                                                备注： 收到样品订单后尽快安排 ，注意样板品质质量要求要高于大货品质质量 ，送货时必须要附带送货单(没有送货单和QC检验合格报告的仓库一律拒绝收货)，请知悉，谢谢！</t>
  </si>
  <si>
    <t>95861-7.31</t>
  </si>
  <si>
    <t>JSC 􀂫Grand-Trade􀂻</t>
  </si>
  <si>
    <t>客户PO:PGT-67
8235</t>
  </si>
  <si>
    <t>4500163216-30</t>
  </si>
  <si>
    <r>
      <rPr>
        <sz val="12"/>
        <rFont val="宋体"/>
        <charset val="134"/>
        <scheme val="minor"/>
      </rPr>
      <t>日期码格式：ZURU INC(BVI) 标准格式 日期：按实际生产日期
Packaging Info:
 77485GQ6：MA 1L 收缩膜+</t>
    </r>
    <r>
      <rPr>
        <sz val="12"/>
        <color rgb="FFFF0000"/>
        <rFont val="宋体"/>
        <charset val="134"/>
        <scheme val="minor"/>
      </rPr>
      <t>进口商贴纸+EAN条码贴+空白帖，MA 1L PDQ（PDQ和收缩膜有recycled material需要用贴纸覆盖）</t>
    </r>
    <r>
      <rPr>
        <sz val="12"/>
        <rFont val="宋体"/>
        <charset val="134"/>
        <scheme val="minor"/>
      </rPr>
      <t xml:space="preserve">
 2. 需要安排loading inspection (装柜现场监柜)；
 3. 外箱侧唛右上角各一张贴纸（共2张） ；
Remark: 标准配比</t>
    </r>
  </si>
  <si>
    <t>95654-7.15</t>
  </si>
  <si>
    <t>4500168730-70</t>
  </si>
  <si>
    <r>
      <rPr>
        <sz val="12"/>
        <rFont val="宋体"/>
        <charset val="134"/>
        <scheme val="minor"/>
      </rPr>
      <t>日期码格式：ZURU INC(BVI) 标准格式 日期：按实际生产日期
Packaging Info: 
77485GQ6：MA UPC收缩膜+</t>
    </r>
    <r>
      <rPr>
        <sz val="12"/>
        <color rgb="FFFF0000"/>
        <rFont val="宋体"/>
        <charset val="134"/>
        <scheme val="minor"/>
      </rPr>
      <t>进口商贴纸</t>
    </r>
    <r>
      <rPr>
        <sz val="12"/>
        <rFont val="宋体"/>
        <charset val="134"/>
        <scheme val="minor"/>
      </rPr>
      <t>；MA指南；MA PDQ;
Remark: 标准配比</t>
    </r>
  </si>
  <si>
    <t>95738-7.23</t>
  </si>
  <si>
    <t>N.V. DREAMLAND</t>
  </si>
  <si>
    <t>4500169123-70</t>
  </si>
  <si>
    <t>荷兰语警告语贴纸（翻单4500166992）</t>
  </si>
  <si>
    <t>日期码格式：ZURU INC(BVI) 标准格式 日期：按实际生产日期
Packaging Info:
7.77485GQ7：MA 3L+5L EAN收缩膜+1张荷兰语警告语贴纸（翻单4500166992）+MA 5L+21L收藏指南+MA 3L PDQ；
Remark: 1. 如MA 产品中有大于10*10cm的塑料袋，必须印上英语/荷兰语/法语/德语的防窒息警告语，印刷内容请与跟单确认；
2. 所有塑料袋的厚度不小于0.038mm；
3. 订单出比利时，产品及包装需要印CE图标；包装需要有ZURU France地址信息，QC同事请核查，如有问题与跟单确认；
4. 标准配比；
5. 出欧洲，微塑料需合规（如item本身不含微塑料 则忽略此要求）。</t>
  </si>
  <si>
    <t>95892-8.2</t>
  </si>
  <si>
    <t>4500169495-230</t>
  </si>
  <si>
    <t>77485-S001-MTS</t>
  </si>
  <si>
    <t>Amazon 箱唛</t>
  </si>
  <si>
    <t>日期码格式：ZURU INC(BVI) 标准格式 日期：按实际生产日期
Packaging Info:
#77485: MA 1L-UPC版本;
Remark: 1.Amazon domestic 订单。出口美国。外箱最长边不能超过25" （超过了，case pack只能为1），不符合要求的大货，一律不接受。
2.无第三方验货/测试要求。
3.日期码使用ZURU标准版本。
4.邮包盒要印刷日期码。</t>
  </si>
  <si>
    <t>7VSO8UPU</t>
  </si>
  <si>
    <t>4500169971-160</t>
  </si>
  <si>
    <t>欠，空白UPC贴纸图稿跟翻单#4500128507</t>
  </si>
  <si>
    <r>
      <rPr>
        <sz val="12"/>
        <rFont val="宋体"/>
        <charset val="134"/>
        <scheme val="minor"/>
      </rPr>
      <t>日期码格式：ZURU INC(BVI) 标准格式 日期：按实际生产日期
Packaging Info:
#77486 :2PK #77485入PVC圆筒. 收缩膜用MA 3L+空白UPC贴纸， 空白UPC贴纸图稿跟翻单#4500128507。2PK 3L铜版纸图稿跟返单4500141223 。</t>
    </r>
    <r>
      <rPr>
        <sz val="12"/>
        <color rgb="FFFF0000"/>
        <rFont val="宋体"/>
        <charset val="134"/>
        <scheme val="minor"/>
      </rPr>
      <t>打5月份的日期码</t>
    </r>
    <r>
      <rPr>
        <sz val="12"/>
        <rFont val="宋体"/>
        <charset val="134"/>
        <scheme val="minor"/>
      </rPr>
      <t xml:space="preserve">
；
Remark: 1. Amazon FOB订单，出口CA。外箱最长边不能超过25" （超过了，case pack只能为1），不符合要求的大货，一律不接受。
2. 外箱正面印ZURU Logo + SSCC LABEL（客供贴纸)，侧面印item#（订单上显示的SKU#) + carton size(以工厂实际尺寸为准，单位: inch) + MADE IN CHINA，
日期使用ZURU 标准版本 SSCC Label 显示的是客人自己的item#，SSCC Label 贴在外箱正面的正中间，贴一面即可，跟单订购，贴纸离外箱距必须至少3cm，每一
张SSCC label 都是唯一且有不同流水及条码的，没有损耗，绝对不可贴错 ，否则贴错或损坏一张会导致全部都错，千万要注意: SSCC 贴纸务必要在正中间(可以覆
盖Logo &lt;(&gt;&amp;&lt;)&gt; 箱唛)，否则会影响到仓库扫描识别。
3. 日期码使用ZURU标准版本。
4. 如果大货有要求入邮包盒，则对应的邮包盒上面要打上日期码。
5. 按照客户PO# 装柜/箱号顺序装柜，跟单会提前给到装柜计划。在大货生产/仓库存放时，请留意该装柜要求，以便装柜时不混乱（避免装错/装漏/找不到货号等
）。
6. 出口加拿大，包装需要至少2/3L UPC版，无硼版本。
7.邮包盒上要印刷日期码</t>
    </r>
  </si>
  <si>
    <t>96102-8.7</t>
  </si>
  <si>
    <t>61G5ZUWZ</t>
  </si>
  <si>
    <t>4500169971-170</t>
  </si>
  <si>
    <t>11T6FKSI</t>
  </si>
  <si>
    <t>4500169971-180</t>
  </si>
  <si>
    <t>1PK6CTDV</t>
  </si>
  <si>
    <t>4500169971-190</t>
  </si>
  <si>
    <t>248ID8QS</t>
  </si>
  <si>
    <t>4500170137-450</t>
  </si>
  <si>
    <r>
      <rPr>
        <sz val="12"/>
        <rFont val="宋体"/>
        <charset val="134"/>
        <scheme val="minor"/>
      </rPr>
      <t>日期码格式：ZURU INC(BVI) 标准格式 日期：按实际生产日期
Packaging Info:
#77486 :2PK #77485入PVC圆筒. 收缩膜用MA 3L+空白UPC贴纸， 空白UPC贴纸图稿跟翻单#4500128507。2PK 3L铜版纸图稿跟返单4500141223 。</t>
    </r>
    <r>
      <rPr>
        <sz val="12"/>
        <color rgb="FFFF0000"/>
        <rFont val="宋体"/>
        <charset val="134"/>
        <scheme val="minor"/>
      </rPr>
      <t>打5月份的日期码
（两个球的配比不能重复）。</t>
    </r>
    <r>
      <rPr>
        <sz val="12"/>
        <rFont val="宋体"/>
        <charset val="134"/>
        <scheme val="minor"/>
      </rPr>
      <t xml:space="preserve">
Remark: 1. Amazon FOB订单，出口CA。外箱最长边不能超过25" （超过了，case pack只能为1），不符合要求的大货，一律不接受。
2. 外箱正面印ZURU Logo + SSCC LABEL（客供贴纸)，侧面印item#（订单上显示的SKU#) + carton size(以工厂实际尺寸为准，单位: inch) + MADE IN CHINA，
日期使用ZURU 标准版本 SSCC Label 显示的是客人自己的item#，SSCC Label 贴在外箱正面的正中间，贴一面即可，跟单订购，贴纸离外箱距必须至少3cm，每一
张SSCC label 都是唯一且有不同流水及条码的，没有损耗，绝对不可贴错 ，否则贴错或损坏一张会导致全部都错，千万要注意: SSCC 贴纸务必要在正中间(可以覆
盖Logo &lt;(&gt;&amp;&lt;)&gt; 箱唛)，否则会影响到仓库扫描识别。
3. 日期码使用ZURU标准版本。
4. 如果大货有要求入邮包盒，则对应的邮包盒上面要打上日期码。
5. 按照客户PO# 装柜/箱号顺序装柜，跟单会提前给到装柜计划。在大货生产/仓库存放时，请留意该装柜要求，以便装柜时不混乱（避免装错/装漏/找不到货号等
）。
6. 出口加拿大，包装需要至少2/3L UPC版，无硼版本。
7.邮包盒上要印刷日期码</t>
    </r>
  </si>
  <si>
    <t>96103-8.7</t>
  </si>
  <si>
    <t>3T5DUGWH</t>
  </si>
  <si>
    <t>4500170137-460</t>
  </si>
  <si>
    <t>6W99INSM</t>
  </si>
  <si>
    <t>4500170137-470</t>
  </si>
  <si>
    <t>4MD887CH</t>
  </si>
  <si>
    <t>4500170137-480</t>
  </si>
  <si>
    <t>1R3VP7LY</t>
  </si>
  <si>
    <t>4500170137-490</t>
  </si>
  <si>
    <t>7PHV8HOW</t>
  </si>
  <si>
    <t>4500168600-80</t>
  </si>
  <si>
    <t>日期码格式：ZURU INC(BVI) 标准格式 日期：按实际生产日期
Packaging Info:
#77485: MA 1L-UPC版本;
Remark: 1. Amazon MDDP订单，出口US。
2. 日期码使用ZURU标准版本。
3. 如果大货有要求入邮包盒，则对应的邮包盒上面要打上日期码。
4. 箱尺寸要求：外箱最长边不能超过25"(超过了，case pack只能为1)，不符合要求的大货，一律不接受。
5. 外箱箱唛要求：
①外箱正面印ZURU Logo+SSCC Label(客供贴纸，由跟单订购)。关于 SSCC Label 请注意：
SSCC Label显示的是客人自己的item#。每一张SSCC label都是唯一且有不同流水及条码的，没有损耗，绝对不可贴错。如果贴错或损坏任何一张，都会导致全部都
错，千万要注意！SSCC Label必须贴在外箱正面的正中间位置(贴一面即可)，并且贴纸离外箱边距必须至少3cm(可以覆盖Logo&lt;(&gt;&amp;&lt;)&gt;箱唛)，否则会影响到客户那边
仓库的扫描识别。
②外箱侧面印item#(订单上显示的SKU#)+carton size(以工厂实际尺寸为准，单位: inch)+MADE IN CHINA，日期使用ZURU 标准版本。
6. 装柜要求：按照客户PO#装柜/箱号顺序装柜，跟单会提前给到装柜计划。
在大货生产/仓库存放时，请留意该装柜要求，以便装柜时不混乱(避免装错/装漏/找不到货号等)。</t>
  </si>
  <si>
    <t>ZB00925-7.28</t>
  </si>
  <si>
    <t>4500169604-130</t>
  </si>
  <si>
    <t>日期码格式：ZURU INC(BVI) 标准格式 日期：按实际生产日期
Packaging Info: 
77485GQ7: MA 3L EAN PKG+UPC 条码贴纸+MA 3L PDQ+MA 收藏指南+箱唛
Remark:</t>
  </si>
  <si>
    <t>96590-3-9.30</t>
  </si>
  <si>
    <t>61971743</t>
  </si>
  <si>
    <t>4500165982-220</t>
  </si>
  <si>
    <t>日期码格式：ZURU INC(BVI) 标准格式 日期：按实际生产日期
Packaging Info:77485GQ7:MA 3L EAN包装+UPC贴纸+进口商贴纸+价标贴纸+箱唛
Remark: 1. 此单价格贴纸（ZURU定购).
2.此单有第三方监柜，不用额外准备备品，会在大货中每款拆1pc，拆了包装的产品会由监装员用客供胶带封好或在外箱上写上""opened by telescope”</t>
  </si>
  <si>
    <t xml:space="preserve"> Ava Liang</t>
  </si>
  <si>
    <t>95894-8.2</t>
  </si>
  <si>
    <t>4500164920-130</t>
  </si>
  <si>
    <t>日期码格式：ZURU INC(BVI) 标准格式 日期：按实际生产日期
Packaging Info:
77485GQ7:MA 3L EAN包装+UPC贴纸+进口商贴纸+价标贴纸+箱唛
Remark: 1. 此单价格贴纸（ZURU定购).
2.此单有第三方监柜，不用额外准备备品，会在大货中每款拆1pc，拆了包装的产品会由监装员用客供胶带封好或在外箱上写上"opened by telescope"</t>
  </si>
  <si>
    <t>95893-8.2</t>
  </si>
  <si>
    <t>4500168775-40</t>
  </si>
  <si>
    <t>ZB01122-8.7</t>
  </si>
  <si>
    <t>TJ MAXX
PO#767791
SKU#135216
DC#891-168pcs
,
DC#894-120pcs
,
DC#896-60pcs,
DC#897-144pcs
,
DC#898-108pcs</t>
  </si>
  <si>
    <t>4500171922-70</t>
  </si>
  <si>
    <t>7/11 寄出</t>
  </si>
  <si>
    <t>日期码格式：ZURU INC(BVI) 标准格式 日期：按实际生产日期
Packaging Info: MA UPC包装+价格贴纸，价格贴纸客供。
2PK/3PK的球用无条码收缩膜或者用空白贴纸覆盖原条码。
Remark: 1. 产品和包装上印刷tracking code信息，格式为ZURU常规格式。
2. 分5个DC出货，每款产品每个DC的箱唛资料不同。具体分DC数量，请参考后面行项目备注。
3. ZURU QC验货。</t>
  </si>
  <si>
    <t>ZB01105R1-8.6</t>
  </si>
  <si>
    <t>77486-S001-3L无条码</t>
  </si>
  <si>
    <t>TJ MAXX
PO#767798
SKU#135474
DC#891-444pcs
,
DC#894-288pcs
,
DC#896-264pcs
,
DC#897-504pcs
,
DC#898-300pcs</t>
  </si>
  <si>
    <t>4500171921-70</t>
  </si>
  <si>
    <t>ZB01244R1-8.13  ZB01285R1-8.16</t>
  </si>
  <si>
    <t>TJ MAXX
PO#767793
SKU#135919
DC#891-288pcs
,
DC#894-216pcs
,
DC#896-156pcs
,
DC#897-324pcs
,
DC#898-216pcs</t>
  </si>
  <si>
    <t>4500171924-70</t>
  </si>
  <si>
    <t>ZB01139-8.8</t>
  </si>
  <si>
    <t>Marshalls
PO#767788
SKU#855953
DC#881-312pcs
,
DC#884-300pcs
,
DC#886-264pcs
,
DC#887-372pcs
,
DC#888-348pcs</t>
  </si>
  <si>
    <t>4500171907-70</t>
  </si>
  <si>
    <t>日期码格式：ZURU INC(BVI) 标准格式 日期：按实际生产日期
Packaging Info: MA UPC包装+价格贴纸，价格贴纸客供。
2PK/3PK的球用无条码收缩膜或者用空白贴纸覆盖原条码。
Remark: 1. 产品和包装上印刷tracking code信息，格式为ZURU常规格式。
2. 分4-5个DC出货，每款产品每个DC的箱唛资料不同。具体分DC数量，请参考后面行项目备注。
3. ZURU QC验货。</t>
  </si>
  <si>
    <t>ZB01158-8.8  ZB01208-8.12  ZB01230-8.13</t>
  </si>
  <si>
    <t>Marshalls
PO#767789
SKU#855181
DC#881-192pcs
,
DC#884-168pcs
,
DC#886-216pcs
,
DC#887-216pcs
,
DC#888-204pcs</t>
  </si>
  <si>
    <t>4500171908-70</t>
  </si>
  <si>
    <t>日期码格式：ZURU INC(BVI) 标准格式 日期：按实际生产日期
Packaging Info: MA UPC包装+价格贴纸，价格贴纸客供。
2PK/3PK的球用无条码收缩膜或者用空白贴纸覆盖原条码。
#92114 是combo pack, 混装了 9269（华康生产）+9279（兴信生产），在兴信组装 。
Remark: 1. 产品和包装上印刷tracking code信息，格式为ZURU常规格式。
2. 分5个DC出货，每款产品每个DC的箱唛资料不同。具体分DC数量，请参考后面行项目备注。
3. ZURU QC验货。</t>
  </si>
  <si>
    <t>ZB01137-8.8</t>
  </si>
  <si>
    <t>TJ MAXX
PO#767796
SKU#134942
DC#891-288pcs
,
DC#894-192pcs
,
DC#896-180pcs
,
DC#897-336pcs
,
DC#898-204pcs</t>
  </si>
  <si>
    <t>4500171919-70</t>
  </si>
  <si>
    <t>ZB01138R1-8.8</t>
  </si>
  <si>
    <t>Marshalls
PO#767787
SKU#855444
DC#881-192pcs
,
DC#884-168pcs
,
DC#886-228pcs
,
DC#887-216pcs
,
DC#888-192pcs</t>
  </si>
  <si>
    <t>4500171916-70</t>
  </si>
  <si>
    <t>ZB01243R1-8.13</t>
  </si>
  <si>
    <t>Marshalls
PO#767785
SKU#855692
DC#881-120pcs
,
DC#884-96pcs,
DC#886-132pcs
,
DC#887-132pcs
,
DC#888-120pcs</t>
  </si>
  <si>
    <t>4500171914-70</t>
  </si>
  <si>
    <t>ZB01222R1-8.12</t>
  </si>
  <si>
    <t>TJ MAXX
PO#767795
SKU#136173
DC#891-456pcs
,
DC#894-204pcs
,
DC#896-300pcs
,
DC#897-528pcs
,
DC#898-312pcs</t>
  </si>
  <si>
    <t>4500171918-70</t>
  </si>
  <si>
    <t>ZB01223R1-8.12</t>
  </si>
  <si>
    <t>Marshalls
PO#767790
SKU#856231
DC#881-312pcs
,
DC#884-276pcs
,
DC#886-336pcs
,
DC#887-348pcs
,
DC#888-324pcs</t>
  </si>
  <si>
    <t>4500171912-70</t>
  </si>
  <si>
    <t>日期码格式：ZURU INC(BVI) 标准格式 日期：按实际生产日期
Packaging Info: MA UPC包装+价格贴纸，价格贴纸客供。
2PK/3PK的球用无条码收缩膜或者用空白贴纸覆盖原条码。
#92114 是combo pack, 混装了 9269（华康生产）+9279（兴信生产），在兴信组装 。
Remark: 产品和包装上印刷tracking code信息，格式为ZURU常规格式。
2. 分5个DC出货，每款产品每个DC的箱唛资料不同。具体分DC数量，请参考后面行项目备注。
3. ZURU QC验货。</t>
  </si>
  <si>
    <t>ZB01398-8.21</t>
  </si>
  <si>
    <t>TJ MAXX
PO#767791
SKU#135277
DC#891-240pcs
,
DC#894-176pcs
,
DC#896-96pcs,
DC#897-216pcs
,
DC#898-168pcs</t>
  </si>
  <si>
    <t>4500171922-130</t>
  </si>
  <si>
    <t>77601-S002</t>
  </si>
  <si>
    <t>3代迷你小手袋 3PK圆筒装</t>
  </si>
  <si>
    <t>TJ MAXX
PO#767798
SKU#135548
DC#891-296pcs
,
DC#894-192pcs
,
DC#896-176pcs
,
DC#897-336pcs
,
DC#898-200pcs</t>
  </si>
  <si>
    <t>4500171921-140</t>
  </si>
  <si>
    <t>TJ MAXX
PO#767793
SKU#135993
DC#891-216pcs
,
DC#894-160pcs
,
DC#896-120pcs
,
DC#897-248pcs,
DC#898-152pcs</t>
  </si>
  <si>
    <t>4500171924-130</t>
  </si>
  <si>
    <t>TJ MAXX
PO#767792
SKU#135792
DC#891-288pcs
,
DC#894-216pcs
,
DC#896-160pcs
,
DC#897-328pcs
,
DC#898-208pcs</t>
  </si>
  <si>
    <t>4500171923-90</t>
  </si>
  <si>
    <t>ZB01220-8.12</t>
  </si>
  <si>
    <t>Marshalls
PO#767788
SKU#856021
DC#881-152pcs
,
DC#884-112pcs,
DC#887-128pcs
,
DC#888-208pcs</t>
  </si>
  <si>
    <t>4500171907-140</t>
  </si>
  <si>
    <t>ZB01158-8.8  ZB01208-8.12</t>
  </si>
  <si>
    <t>Marshalls
PO#767789
SKU#855256
DC#881-160pcs
,
DC#884-136pcs
,
DC#886-168pcs
,
DC#887-176pcs
,
DC#888-160pcs</t>
  </si>
  <si>
    <t>4500171908-140</t>
  </si>
  <si>
    <t>ZB01123-8.7   ZB01137-8.8   ZB01154-8.8</t>
  </si>
  <si>
    <t>TJ MAXX
PO#767796
SKU#135036
DC#891-240pcs
,
DC#894-160pcs
,
DC#896-152pcs
,
DC#897-280pcs
,
DC#898-168pcs</t>
  </si>
  <si>
    <t>4500171919-140</t>
  </si>
  <si>
    <t>Marshalls
PO#767787
SKU#855510
DC#881-120pcs
,
DC#884-104pcs
,
DC#886-136pcs
,
DC#887-128pcs
,
DC#888-112pcs</t>
  </si>
  <si>
    <t>4500171916-130</t>
  </si>
  <si>
    <t>Marshalls
PO#767785
SKU#855766
DC#881-120pcs
,
DC#884-96pcs,
DC#886-136pcs
,
DC#887-128pcs
,
DC#888-120pcs</t>
  </si>
  <si>
    <t>4500171914-130</t>
  </si>
  <si>
    <t>TJ MAXX
PO#767795
SKU#136242
DC#891-232pcs
,
DC#894-104pcs
,
DC#896-144pcs
,
DC#897-264pcs
,
DC#898-152pcs</t>
  </si>
  <si>
    <t>4500171918-140</t>
  </si>
  <si>
    <t>Marshalls
PO#767790
SKU#856314
DC#881-192pcs
,
DC#884-168pcs
,
DC#886-216pcs
,
DC#887-216pcs
,
DC#888-208pcs</t>
  </si>
  <si>
    <t>4500171912-140</t>
  </si>
  <si>
    <t>Marshalls
PO#767786
SKU#855038
DC#881-200pcs
,
DC#884-152pcs
,
DC#886-240pcs
,
DC#887-216pcs
,
DC#888-192pcs</t>
  </si>
  <si>
    <t>4500171915-90</t>
  </si>
  <si>
    <t>ZB01124-8.7  ZB01153-8.8</t>
  </si>
  <si>
    <t>TJX CANADA</t>
  </si>
  <si>
    <t>40276731 40276790</t>
  </si>
  <si>
    <t>4500171335-150</t>
  </si>
  <si>
    <t>77485GQ7-S002</t>
  </si>
  <si>
    <t>日期码格式：ZURU INC(BVI) 标准格式 日期：按实际生产日期
Packaging Info: 
77485 标版多语包装/说明书+多语PDQ， 加UPC 贴纸， UPC 193052057105（此款日期码打在2025.5.30 之前 ）
Remark: 出加拿大
有客供价格贴
每行对应不同的客户PO，唛头要一一对应， 放唛头时跟单会提供清单
Zuru验货.日期跟踪码：产品外包装及产品本身都必须有日期跟踪码，ZURU标准格式
日期码</t>
  </si>
  <si>
    <t>Summer Mo</t>
  </si>
  <si>
    <t>95906-8.4</t>
  </si>
  <si>
    <t>4500171335-250</t>
  </si>
  <si>
    <t>4500171335-340</t>
  </si>
  <si>
    <t>4500171335-430</t>
  </si>
  <si>
    <t>40279125 45276449</t>
  </si>
  <si>
    <t>4500171342-90</t>
  </si>
  <si>
    <t>日期码格式：ZURU INC(BVI) 标准格式 日期：按实际生产日期
Packaging Info:
77485 标版多语包装/说明书+多语PDQ， 加UPC 贴纸， UPC 193052057105（此款日期码打在2025.5.30 之前 ）
Remark: 出加拿大
有客供价格贴
每行对应不同的客户PO，唛头要一一对应， 放唛头时跟单会提供清单
Zuru验货.日期跟踪码：产品外包装及产品本身都必须有日期跟踪码，ZURU标准格式
日期码</t>
  </si>
  <si>
    <t>96596-2-9.30</t>
  </si>
  <si>
    <t>4500171342-280</t>
  </si>
  <si>
    <t>4500172246-10</t>
  </si>
  <si>
    <t>7/14 客供价格贴纸</t>
  </si>
  <si>
    <t>日期码格式：ZURU INC(BVI) 标准格式 日期：按实际生产日期
Packaging Info: 1.ZURU MA UPC 现有版本包装 + 客供价格贴纸，出口美国 , 优先使用MA 1L 最新版本 。
Remark: 1.ZURU MA UPC 现有版本包装 + 客供价格贴纸，出口美国 , 优先使用MA 1L 最新版本 。
2.价格贴纸位于包装正面右下角，不挡住重要信息即可，可适当调整，价格贴纸由跟单提供。
3.标准日期码格式，产品和包装必须有日期码 。
4.同个产品同个货期不可出现不同的包装。
5. 跟单提供ROSS/DDS通用的箱唛模版，工厂根据箱唛资料提供箱唛排版来确认。
6. PVC 桶中球不能出现完全相同的ASSORTMENT ， 即同一个PVC 中球里的ASSORTMENT 需要不同。 以免消费者失望。</t>
  </si>
  <si>
    <t>Sharon Yang</t>
  </si>
  <si>
    <t>ZB01087-8.6</t>
  </si>
  <si>
    <t>4500171286-70</t>
  </si>
  <si>
    <t>9/8截补料</t>
  </si>
  <si>
    <t>日期码格式：ZURU INC(BVI) 标准格式 日期：按实际生产日期
Packaging Info:
77485GQ7：MA 多语EAN包装+UPC贴纸+MA多语收藏指南+MA多语PDQ+箱唛
Remark:</t>
  </si>
  <si>
    <t>96364-9.8</t>
  </si>
  <si>
    <t>4500172103-10</t>
  </si>
  <si>
    <r>
      <rPr>
        <sz val="12"/>
        <rFont val="宋体"/>
        <charset val="134"/>
        <scheme val="minor"/>
      </rPr>
      <t xml:space="preserve">日期码格式：ZURU INC(BVI) 标准格式 日期：按实际生产日期
Packaging Info: </t>
    </r>
    <r>
      <rPr>
        <sz val="12"/>
        <color rgb="FFFF0000"/>
        <rFont val="宋体"/>
        <charset val="134"/>
        <scheme val="minor"/>
      </rPr>
      <t>请确保包装上的条形码是UPC，如果是babyUPC，需要用mother UPC覆盖，如有不一致，请及时提出。谢谢!</t>
    </r>
    <r>
      <rPr>
        <sz val="12"/>
        <rFont val="宋体"/>
        <charset val="134"/>
        <scheme val="minor"/>
      </rPr>
      <t xml:space="preserve">
77485GQ7 MA 多语EAN包装+UPC贴纸+MA多语收藏指南+MA多语PDQ+箱唛
Remark: </t>
    </r>
  </si>
  <si>
    <t>96595-3-9.30</t>
  </si>
  <si>
    <t>BEALL'S OUTLET STORES, INC.</t>
  </si>
  <si>
    <t>4500171933-20</t>
  </si>
  <si>
    <t>7/3寄出</t>
  </si>
  <si>
    <t>日期码格式：ZURU INC(BVI) 标准格式 日期：按实际生产日期
Packaging Info: 1.ZURU最新MA UPC包装(优先1L) + 客供价格贴纸（贴在产品包装右下角，跟单找第三方订购贴纸寄到工厂）。
Remark: 1.ZURU最新MA UPC包装(优先1L) + 客供价格贴纸（贴在产品包装右下角，跟单找第三方订购贴纸寄到工厂）。
2. 所有产品外包装及产品本身都必须有日期跟踪码(ZURU标准日期码格式，年月日的日期自行调整，但不能为周末)，并且确保产品及外包装的日期跟踪码要一致</t>
  </si>
  <si>
    <t>Hailey Yu</t>
  </si>
  <si>
    <t>ZB01192-8.11</t>
  </si>
  <si>
    <t>77601-S002-1</t>
  </si>
  <si>
    <t>4500170750-150</t>
  </si>
  <si>
    <t>8/7 出货</t>
  </si>
  <si>
    <r>
      <rPr>
        <sz val="12"/>
        <rFont val="宋体"/>
        <charset val="134"/>
        <scheme val="minor"/>
      </rPr>
      <t xml:space="preserve">日期码格式：ZURU INC(BVI) 标准格式 日期：按实际生产日期
Packaging Info:77485GQ7:MA 3L EAN PKG+UPC 条码贴纸+MA 3L PDQ+MA 收藏指南+进口商贴纸+箱唛
</t>
    </r>
    <r>
      <rPr>
        <sz val="12"/>
        <color rgb="FFFF0000"/>
        <rFont val="宋体"/>
        <charset val="134"/>
        <scheme val="minor"/>
      </rPr>
      <t>所有带电产品的保证书通用1份</t>
    </r>
    <r>
      <rPr>
        <sz val="12"/>
        <rFont val="宋体"/>
        <charset val="134"/>
        <scheme val="minor"/>
      </rPr>
      <t xml:space="preserve">
Remark: </t>
    </r>
  </si>
  <si>
    <t>96589-3-9.30</t>
  </si>
  <si>
    <t>COPPEL CORPORATION</t>
  </si>
  <si>
    <t>4500169860-30</t>
  </si>
  <si>
    <t xml:space="preserve">日期码格式：ZURU INC(BVI) 标准格式 日期：按实际生产日期
Packaging Info: 77486: 2PK #77485入PVC圆筒，2PK铜版纸图稿翻单PO4500141223+进口商贴纸+价格贴纸+箱唛，77485用收缩膜用MA 3L+空白条码贴纸+MA 5L收藏指南（两个球的配
比不能重复）。
Remark: </t>
  </si>
  <si>
    <t>96179-8.27</t>
  </si>
  <si>
    <t>4500169860-60</t>
  </si>
  <si>
    <t>96162-8.26</t>
  </si>
  <si>
    <t>4500169860-90</t>
  </si>
  <si>
    <t>96092-8.21</t>
  </si>
  <si>
    <t>4500169860-120</t>
  </si>
  <si>
    <t>4500169860-150</t>
  </si>
  <si>
    <t>4500169860-180</t>
  </si>
  <si>
    <t>4500169860-210</t>
  </si>
  <si>
    <t>4500169860-240</t>
  </si>
  <si>
    <t>Marshalls
PO#777702
SKU#857106
DC#881-204pcs
,
DC#884-240pcs
,
DC#886-168pcs
,
DC#887-168pcs
,
DC#888-216pcs</t>
  </si>
  <si>
    <t>4500172365-70</t>
  </si>
  <si>
    <t>ZB01157-8.8</t>
  </si>
  <si>
    <t>TJ MAXX
PO#777711
SKU#136995
DC#891-276pcs
,
DC#894-192pcs
,
DC#896-168pcs
,
DC#897-348pcs
,
DC#898-216pcs</t>
  </si>
  <si>
    <t>4500172370-70</t>
  </si>
  <si>
    <t>ZB01221R1-8.12  ZB01227R1-8.13</t>
  </si>
  <si>
    <t>4500172252-10</t>
  </si>
  <si>
    <t>8/13 出货</t>
  </si>
  <si>
    <t>日期码格式：ZURU INC(BVI) 标准格式 日期：按实际生产日期
Packaging Info: 1.ZURU MA UPC 现有版本包装 + 客供价格贴纸，出口美国 , 优先使用MA 1L 最新版本 。
Remark: 1.ZURU MA UPC 现有版本包装 + 客供价格贴纸，出口美国 , 优先使用MA 1L 最新版本 。
2.价格贴纸位于包装正面右下角，不挡住重要信息即可，可适当调整，价格贴纸由跟单提供。
3.标准日期码格式，产品和包装必须有日期码 。
4.同个产品同个货期不可出现不同的包装。
5. 跟单提供ROSS/DDS通用的箱唛模版，工厂根据箱唛资料提供箱唛排版来确认。
6. PVC 桶中球不能出现完全相同的ASSORTMENT ， 即同一个PVC 中球里的ASSORTMENT 需要不同。 以免消费者失望</t>
  </si>
  <si>
    <t>ZB01242-8.13</t>
  </si>
  <si>
    <t>JSC 􀂫Grand-Trade</t>
  </si>
  <si>
    <t>PGT-684629</t>
  </si>
  <si>
    <t>4500166910-60</t>
  </si>
  <si>
    <r>
      <rPr>
        <sz val="12"/>
        <rFont val="宋体"/>
        <charset val="134"/>
        <scheme val="minor"/>
      </rPr>
      <t>日期码格式：ZURU INC(BVI) 标准格式 日期：按实际生产日期
Packaging Info: 注意： 此客户不允许包装/产品/PDQ 上显示recycled material 字眼，如有请告知跟单需要加贴纸覆盖；
77485GQ6 MA UPC</t>
    </r>
    <r>
      <rPr>
        <sz val="12"/>
        <color rgb="FFFF0000"/>
        <rFont val="宋体"/>
        <charset val="134"/>
        <scheme val="minor"/>
      </rPr>
      <t>收缩膜</t>
    </r>
    <r>
      <rPr>
        <sz val="12"/>
        <rFont val="宋体"/>
        <charset val="134"/>
        <scheme val="minor"/>
      </rPr>
      <t>+进口商贴纸</t>
    </r>
    <r>
      <rPr>
        <sz val="12"/>
        <color rgb="FFFF0000"/>
        <rFont val="宋体"/>
        <charset val="134"/>
        <scheme val="minor"/>
      </rPr>
      <t>（覆盖recycled material 字眼）+EAN条码贴 , MA收藏指南（加贴1张空白帖覆盖recycled material 字眼,MA PDQ(优先1L，
加贴1张空白帖覆盖recycled material 字眼)</t>
    </r>
    <r>
      <rPr>
        <sz val="12"/>
        <rFont val="宋体"/>
        <charset val="134"/>
        <scheme val="minor"/>
      </rPr>
      <t xml:space="preserve">
2. 有第三方监柜
3. 外箱侧唛右上角各一张贴纸 （共2张）
Remark: 标准配比</t>
    </r>
  </si>
  <si>
    <t>96359-9.8</t>
  </si>
  <si>
    <t>4500173851-70</t>
  </si>
  <si>
    <t>日期码格式：ZURU INC(BVI) 标准格式 日期：按实际生产日期
Packaging Info: 
77486：3L铜板纸贴纸+进口商贴纸+箱唛，2个77485入1个PVC管，2个球不能是相同配比。77485用MA 3L 包装+MA 多语收藏指南+空白条码贴纸覆盖原球MA条码
Remark</t>
  </si>
  <si>
    <t>96253-8.30</t>
  </si>
  <si>
    <t>4500167710-20</t>
  </si>
  <si>
    <t>进口商贴纸翻单4500152087</t>
  </si>
  <si>
    <t>日期码格式：ZURU INC(BVI) 标准格式 日期：按实际生产日期
Packaging Info:
2. 77485GQ7：MA 多语EAN包装+UPC贴纸+MA多语收藏指南+MA多语PDQ+进口商贴纸+箱唛,进口商贴纸翻单4500152087
Remark:</t>
  </si>
  <si>
    <t>96401-9.11</t>
  </si>
  <si>
    <t>Amazon UK:
5RY5WLPY</t>
  </si>
  <si>
    <t>4500173446-30</t>
  </si>
  <si>
    <r>
      <rPr>
        <sz val="12"/>
        <rFont val="宋体"/>
        <charset val="134"/>
        <scheme val="minor"/>
      </rPr>
      <t xml:space="preserve">日期码格式：ZURU INC(BVI) 标准格式 日期：按实际生产日期
Packaging Info: Amazon UK(92104H/71109D/77486)/DE(92104H/9296E)/FR(71126/15701A)
3. 77486: 2pcs 77485入PVC tube, 12tubes/ctn; </t>
    </r>
    <r>
      <rPr>
        <sz val="12"/>
        <color rgb="FFFF0000"/>
        <rFont val="宋体"/>
        <charset val="134"/>
        <scheme val="minor"/>
      </rPr>
      <t>MA 3L(无barcode)B 收缩膜(参考翻单TJX US PO#4500171907)+客版彩卡(UPC#+英法德意西5L警示语+FR/ES环保标
+GPSR邮箱care@zuru.com，参考翻单TJX US PO#4500171907)+1张贴纸(1张IT环保标)+MA 3L(5L warning)C收藏指南+其他MA最新配套包装;</t>
    </r>
    <r>
      <rPr>
        <sz val="12"/>
        <rFont val="宋体"/>
        <charset val="134"/>
        <scheme val="minor"/>
      </rPr>
      <t xml:space="preserve">
7. 验货时间不迟于2025/8/20.
Remark: 1.空白外箱（加印带Zuru字样的最新logo，除了邮包盒直接做外箱的产品） + SSCC LABEL一张, 无箱唛，MADE IN CHINA 外箱只印一正一侧。箱唛资料按照给定的
标准去做即可，无需发回我方再行审批(新标准将另行通知)。
(SSCC LABEL竖贴在外箱正面的正中间，贴一面即可,贴纸离外箱边距必须至少3.2CM。如竖贴无法满足要求，则横贴。如横贴也无法满足要求，则竖贴，遮到ZURU lo
go无影响), SSCC贴纸由工厂直接跟勤得采购或者工厂自行采购，每一张SSCC Label都是唯一且有不同流水及条码，且需要检查条码是否能正常扫描，另外，此贴纸
印刷不可出现模糊，溢出及粘胶不牢易脱落等现象，如工厂不按此要求导致贴纸有任何问题产生的罚款将由工厂承担一切责任 。
2.出往UK的产品+包装务必打上UKCA logo ，否则客人会退货且当地会有罚款。
3.订单必须经过ZURU QC验货或者工厂自检通过后方可出货，不涉及第三方验货。
4.法国订单要求包装不使用矿物油，请按要求提供以下其中一份文件再出货 ，产品出到法国被相关部门抽检出现包装不符合此要求的，供应商需要为此承担责任，
故此请严格把关。
-油墨物质""""由1 ~ 7个芳香环组成的MOAH""""的包装检测报告，要求限值≤1.0%；
-包装材料清单，包括包装油墨或物质的信息；
-油墨制造商的证书；
5.每一批次出货只能有一个生产日期，不可多个生产日期混在同一批次出货；且零售包装上必须统一加上日期码；外箱对于日期码没有硬性规定；
6.涉及到相关款式会有闪粉的或者微塑料的，请统一默认出无闪粉或者不含微塑料版本；
7.邮包盒及外箱封箱必须是工字型封箱方式；
8.5 Surprise or Mini Brands涉及包装是2个及2个以上的球入PVC桶包装时，单个球上若有UPC#或者EAN#，请用空白贴纸覆盖住，贴纸尺寸自行测量能覆盖原条码即
可；</t>
    </r>
  </si>
  <si>
    <t>96323-9.4</t>
  </si>
  <si>
    <t>0931286892</t>
  </si>
  <si>
    <t>4500174229-10</t>
  </si>
  <si>
    <t>8/15第三方验货</t>
  </si>
  <si>
    <r>
      <rPr>
        <sz val="12"/>
        <rFont val="宋体"/>
        <charset val="134"/>
        <scheme val="minor"/>
      </rPr>
      <t xml:space="preserve">日期码格式：ZURU DGYYYYMMDD CHINA(日期避开周末和法定节假日即可） 日期：按实际生产日期
Packaging Info: 77485SLB-S004
1.包装要求：
MA 1L收缩膜+ 客版 收藏指南B版+MA 纸袋+客版 1L PDQ，翻单：4500128976
每pcs产品上要贴1张RFID贴纸，贴纸由ZURU提供，贴纸位置请严格按照我们签回的签板；
Remark: 77485SLB-S004
1.包装要求：
MA 1L收缩膜+ 客版 收藏指南B版+MA 纸袋+客版 1L PDQ，翻单：4500128976
每pcs产品上要贴1张RFID贴纸，贴纸由ZURU提供，贴纸位置请严格按照我们签回的签板；
2. 外箱印刷带条码的RFID箱唛：RFID紫色色带+WM Dept.图标+RFID图标+ITF-14条码，四面右下角印刷ZURU logo, ITFF条码只印刷在正唛一面，在加印的时候确保
条形码能扫描出来，外箱侧面任一角落加印："MADE IN CHINA" 字样；
3. 每个slip sheet上面贴一张艾利贴纸（不干胶贴纸）和一张普通贴纸（A4纸），slip sheet打印的普通贴纸的尺寸不能比艾利贴纸小，普通贴纸内容见附件；
4. 在产品上和包装上要有日期码、以及要有MADE IN CHINA和ZURU字样；
5. 产品如有扎带口要剪平，不能刮手。
</t>
    </r>
    <r>
      <rPr>
        <sz val="12"/>
        <color rgb="FFFF0000"/>
        <rFont val="宋体"/>
        <charset val="134"/>
        <scheme val="minor"/>
      </rPr>
      <t>6. 此单需要抽板和验货，抽板时间预计8/18，请多备料</t>
    </r>
    <r>
      <rPr>
        <sz val="12"/>
        <rFont val="宋体"/>
        <charset val="134"/>
        <scheme val="minor"/>
      </rPr>
      <t xml:space="preserve">
7. 此单以slip sheet出货，77485：1152pcs/96CTN/Slip Sheet</t>
    </r>
  </si>
  <si>
    <t>ZB01454-8.23</t>
  </si>
  <si>
    <t>0931286904</t>
  </si>
  <si>
    <t>4500174229-20</t>
  </si>
  <si>
    <t>ZB01497-8.26</t>
  </si>
  <si>
    <t>0931286916</t>
  </si>
  <si>
    <t>4500174229-30</t>
  </si>
  <si>
    <t>ZB01498-8.26</t>
  </si>
  <si>
    <t>0931286920</t>
  </si>
  <si>
    <t>4500174229-40</t>
  </si>
  <si>
    <t>8/18第三方抽办</t>
  </si>
  <si>
    <t>ZB01660(REV1)-9.3</t>
  </si>
  <si>
    <t>0931286921</t>
  </si>
  <si>
    <t>4500174229-50</t>
  </si>
  <si>
    <t>ZB01554-8.28</t>
  </si>
  <si>
    <t>0931286929</t>
  </si>
  <si>
    <t>4500174229-60</t>
  </si>
  <si>
    <t>ZB01555-8.28</t>
  </si>
  <si>
    <t>0931286941</t>
  </si>
  <si>
    <t>4500174229-70</t>
  </si>
  <si>
    <t>ZB01584-8.29</t>
  </si>
  <si>
    <t>FRATELLO (PTY) LTD</t>
  </si>
  <si>
    <t>1100029671-3</t>
  </si>
  <si>
    <t>4500173241-90</t>
  </si>
  <si>
    <t>日期码格式：ZURU INC(BVI) 标准格式 日期：按实际生产日期
Packaging Info: MA PKG , 优先1L
Remark:</t>
  </si>
  <si>
    <t>96463-8.26</t>
  </si>
  <si>
    <t>DREAM BLOSSOM LTD</t>
  </si>
  <si>
    <t>4500170921-10</t>
  </si>
  <si>
    <t>7/8 更新箱唛</t>
  </si>
  <si>
    <t>贴纸覆盖原本的3+(日语贴纸及年龄贴纸翻单：4500163667)。</t>
  </si>
  <si>
    <r>
      <rPr>
        <sz val="10"/>
        <rFont val="等线"/>
        <charset val="134"/>
      </rPr>
      <t>日期码格式：ZURU INC(BVI) 标准格式 日期：按实际生产日期
Packaging Info: 77485GQ6：MA 1L UPC PKG+MA 1L PDQ+1张日语贴纸, 收缩膜和收藏指南上需各加一张6+贴纸覆盖原本的3</t>
    </r>
    <r>
      <rPr>
        <sz val="10"/>
        <color rgb="FFFF0000"/>
        <rFont val="等线"/>
        <charset val="134"/>
      </rPr>
      <t>+(日语贴纸及年龄贴纸翻单：4500163667)。</t>
    </r>
    <r>
      <rPr>
        <sz val="10"/>
        <rFont val="等线"/>
        <charset val="134"/>
      </rPr>
      <t xml:space="preserve">
Remark: 1.出日本
2.需在生产完成后提供检针测试报告，需提供装柜图片。
3.待客户确认是否需寄板做QC check。</t>
    </r>
  </si>
  <si>
    <t>96301-9.3</t>
  </si>
  <si>
    <t>4500172260-10</t>
  </si>
  <si>
    <t>ZB02032-9.22</t>
  </si>
  <si>
    <t>77486-S001-1L</t>
  </si>
  <si>
    <t>4500174588-20</t>
  </si>
  <si>
    <t>SI,9/3</t>
  </si>
  <si>
    <t>UPC包装(优先1L) + 客供价格贴纸（贴在产品包装右下角，跟单找第三方订购贴纸寄到工厂）。
Remark: 1.ZURU最新MA UPC包装(优先1L) + 客供价格贴纸（贴在产品包装右下角，跟单找第三方订购贴纸寄到工厂）。
2. 所有产品外包装及产品本身都必须有日期跟踪码(ZURU标准日期码格式，年月日的日期自行调整，但不能为周末)，并且确保产品及外包装的日期跟踪码要一致</t>
  </si>
  <si>
    <t>ZB0174588-9.6</t>
  </si>
  <si>
    <t>4500174582-10</t>
  </si>
  <si>
    <t>ZB01748-9.6</t>
  </si>
  <si>
    <t>4500174585-10</t>
  </si>
  <si>
    <t>ZB01747-9.6</t>
  </si>
  <si>
    <t>18KN9OPR</t>
  </si>
  <si>
    <t>4500175043-70</t>
  </si>
  <si>
    <t>日期码格式：ZURU INC(BVI) 标准格式 日期：按实际生产日期
Packaging Info: 
#77486 :2PK #77485入PVC圆筒. 收缩膜用客版3L 无UPC版收缩膜，2PK 3L铜版纸； 客版收缩膜和铜版纸图稿跟TJX订单# 4500171907。（两个球的配比不能重复）
，跟ROSS 的订单合并订购物料。
Remark: 1. Amazon FOB订单，出口CA。外箱最长边不能超过25" （超过了，case pack只能为1），不符合要求的大货，一律不接受。
2. 外箱正面印ZURU Logo + SSCC LABEL（客供贴纸)，侧面印item#（订单上显示的SKU#) + carton size(以工厂实际尺寸为准，单位: inch) + MADE IN CHINA，
日期使用ZURU 标准版本 SSCC Label 显示的是客人自己的item#，SSCC Label 贴在外箱正面的正中间，贴一面即可，跟单订购，贴纸离外箱距必须至少3cm，每一
张SSCC label 都是唯一且有不同流水及条码的，没有损耗，绝对不可贴错 ，否则贴错或损坏一张会导致全部都错，千万要注意: SSCC 贴纸务必要在正中间(可以覆
盖Logo &lt;(&gt;&amp;&lt;)&gt; 箱唛)，否则会影响到仓库扫描识别。
3. 日期码使用ZURU标准版本。
4. 如果大货有要求入邮包盒，则对应的邮包盒上面要打上日期码。
5. 按照客户PO# 装柜/箱号顺序装柜，跟单会提前给到装柜计划。在大货生产/仓库存放时，请留意该装柜要求，以便装柜时不混乱（避免装错/装漏/找不到货号等
）。
6. 出口加拿大，包装需要至少2/3L UPC版，无硼版本。
7. 邮包盒上要印刷日期码</t>
  </si>
  <si>
    <t>96449-9.16</t>
  </si>
  <si>
    <t>85SDJ71M</t>
  </si>
  <si>
    <t>4500175043-80</t>
  </si>
  <si>
    <t>4V331UTZ</t>
  </si>
  <si>
    <t>4500175043-90</t>
  </si>
  <si>
    <t>5KV85AQM</t>
  </si>
  <si>
    <t>4500175043-100</t>
  </si>
  <si>
    <t>2GTL3IMV</t>
  </si>
  <si>
    <t>4500175043-110</t>
  </si>
  <si>
    <t>5EEI57ON</t>
  </si>
  <si>
    <t>4500175043-120</t>
  </si>
  <si>
    <t>41BGWZTT</t>
  </si>
  <si>
    <t>4500175043-130</t>
  </si>
  <si>
    <t>0935462311</t>
  </si>
  <si>
    <t>4500175910-50</t>
  </si>
  <si>
    <t>9/8自检</t>
  </si>
  <si>
    <t>预排SO，9/11，9/9兴信做柜</t>
  </si>
  <si>
    <t>日期码格式：ZURU DGYYYYMMDD CHINA(日期避开周末和法定节假日即可） 日期：按实际生产日期
Packaging Info: 
77485SLB-S004
1.包装要求：
MA 1L收缩膜+ 客版 收藏指南B版+MA 纸袋+客版 1L PDQ，翻单：4500128976
每pcs产品上要贴1张RFID贴纸，贴纸由ZURU提供，贴纸位置请严格按照我们签回的签板；
Remark: 
77485SLB-S004
1.包装要求：
MA 1L收缩膜+ 客版 收藏指南B版+MA 纸袋+客版 1L PDQ，翻单：4500128976
每pcs产品上要贴1张RFID贴纸，贴纸由ZURU提供，贴纸位置请严格按照我们签回的签板；
2. 外箱印刷带条码的RFID箱唛：RFID紫色色带+WM Dept.图标+RFID图标+ITF-14条码，四面右下角印刷ZURU logo, ITFF条码只印刷在正唛一面，在加印的时候确保
条形码能扫描出来，外箱侧面任一角落加印："MADE IN CHINA" 字样；
3. 每个slip sheet上面贴一张艾利贴纸（不干胶贴纸）和一张普通贴纸（A4纸），slip sheet打印的普通贴纸的尺寸不能比艾利贴纸小，普通贴纸内容见附件；
4. 在产品上和包装上要有日期码、以及要有MADE IN CHINA和ZURU字样；
5. 产品如有扎带口要剪平，不能刮手。
6. 此单需要验货，请多备料
7. 此单以slip sheet出货，77485：1152pcs/96CTN/Slip Sheet</t>
  </si>
  <si>
    <t>ZB01966-9.17</t>
  </si>
  <si>
    <t>已打印</t>
  </si>
  <si>
    <t>0935462331</t>
  </si>
  <si>
    <t>4500175910-60</t>
  </si>
  <si>
    <t>ZB01787(REV2)-9.9</t>
  </si>
  <si>
    <t>0935462341</t>
  </si>
  <si>
    <t>4500175910-70</t>
  </si>
  <si>
    <t>ZB01788-9.9</t>
  </si>
  <si>
    <t>0938508676</t>
  </si>
  <si>
    <t>4500176989-10</t>
  </si>
  <si>
    <t>9/17第三方验货</t>
  </si>
  <si>
    <t>日期码格式：ZURU DGYYYYMMDD CHINA(日期避开周末和法定节假日即可） 日期：按实际生产日期
Packaging Info: 77485SLB-S004
1.包装要求：
MA 1L收缩膜+ MA 收藏指南+MA 纸袋+客版 1L PDQ
每pcs产品上要贴1张RFID贴纸，贴纸由ZURU提供，贴纸位置请严格按照我们签回的签板；
Remark: 77485SLB-S004
1.包装要求：
MA 1L收缩膜+ MA 收藏指南+MA 纸袋+客版 1L PDQ
每pcs产品上要贴1张RFID贴纸，贴纸由ZURU提供，贴纸位置请严格按照我们签回的签板；
2. 外箱印刷带条码的RFID箱唛：RFID紫色色带+WM Dept.图标+RFID图标+ITF-14条码，四面右下角印刷ZURU logo, ITFF条码只印刷在正唛一面，在加印的时候确保
条形码能扫描出来，外箱侧面任一角落加印："MADE IN CHINA" 字样；
3. 每个slip sheet上面贴一张艾利贴纸（不干胶贴纸）和一张普通贴纸（A4纸），slip sheet打印的普通贴纸的尺寸不能比艾利贴纸小，普通贴纸内容见附件；
4. 在产品上和包装上要有日期码、以及要有MADE IN CHINA和ZURU字样；
5. 产品如有扎带口要剪平，不能刮手。
6. 此单需要验货，请多备料
7. 此单以slip sheet出货，77485：1152pcs/96CTN/Slip Sheet</t>
  </si>
  <si>
    <t>ZB02093-9.25</t>
  </si>
  <si>
    <t>77485SLB-S004-1</t>
  </si>
  <si>
    <t>9/8打印</t>
  </si>
  <si>
    <t>0938508741</t>
  </si>
  <si>
    <t>4500176989-20</t>
  </si>
  <si>
    <t>ZB02188-9.27</t>
  </si>
  <si>
    <t>0938508769</t>
  </si>
  <si>
    <t>4500176989-30</t>
  </si>
  <si>
    <t>ZB02054-9.23</t>
  </si>
  <si>
    <t>0938508796</t>
  </si>
  <si>
    <t>4500176989-40</t>
  </si>
  <si>
    <t>ZB02134-9.26</t>
  </si>
  <si>
    <t>ZMPO250685</t>
  </si>
  <si>
    <t>30套散件</t>
  </si>
  <si>
    <t>Remark：大货最新版本/只需要齐套散件/麻烦用胶袋分装好一套为一袋/箱唛参照邮件附件；备注： 收到样品订单后尽快安排 ，此订单麻烦在外箱上备注是海运订单/注意样板品质质量要求要高于大货品质质量 ，送货时必须要附带送货单(没有送货单和QC检验合格报告的仓库一律拒绝收货)，请知悉，谢谢！</t>
  </si>
  <si>
    <t>96600-9.30</t>
  </si>
  <si>
    <t>DD'S DISCOUNTS</t>
  </si>
  <si>
    <t>4500174780-10</t>
  </si>
  <si>
    <t>日期码格式：ZURU INC(BVI) 标准格式 日期：按实际生产日期
Packaging Info: 1.ZURU MA UPC 现有版本包装 + 客供价格贴纸，出口美国 , 优先使用MA 1L 最新版本 。
Remark: 1.ZURU MA UPC 现有版本包装 + 客供价格贴纸，出口美国 , 优先使用MA 1L 最新版本 。
2.价格贴纸位于包装正面右下角，不挡住重要信息即可，可适当调整，价格贴纸由跟单提供。
3.标准日期码格式，产品和包装必须有日期码 。
4.同个产品同个货期不可出现不同的包装。
5. 跟单提供ROSS/DDS通用的箱唛模版，工厂根据箱唛资料提供箱唛排版来确认。</t>
  </si>
  <si>
    <t>ZB02021-9.20</t>
  </si>
  <si>
    <t>PO# 35261</t>
  </si>
  <si>
    <t>4500176521-40</t>
  </si>
  <si>
    <t>日期码格式：ZURU INC(BVI) 标准格式 日期：按实际生产日期
Packaging Info: 1. 包装方式：MA UPC 优先1L 最新包装，出口美国
Remark: 2. 外箱箱唛红色和黑色双色印刷
3. 产品和包装上印刷tracking code信息，格式为ZURU常规</t>
  </si>
  <si>
    <t>ZB02191-9.27</t>
  </si>
  <si>
    <t>ADIR INTERNATIOAL/ CURACAO</t>
  </si>
  <si>
    <t>Customer PO#
ALKAA-C</t>
  </si>
  <si>
    <t>4500175977-10</t>
  </si>
  <si>
    <t>日期码格式：ZURU INC(BVI) 标准格式 日期：按实际生产日期
Packaging Info: 1. 包装方式：MA UPC 优先1L 最新包装，出口美国
Remark: 2. 产品和包装上印刷tracking code信息，格式为ZURU常规;
3. ZURU QC验货即可出货。</t>
  </si>
  <si>
    <t>ZB02187-9.27</t>
  </si>
  <si>
    <t>1100030564-2</t>
  </si>
  <si>
    <t>4500176300-100</t>
  </si>
  <si>
    <t>日期码格式：ZURU INC(BVI) 标准格式 日期：按实际生产日期
Packaging Info: MA PKG,优先1L
Remark:</t>
  </si>
  <si>
    <t>96512-2-9.23</t>
  </si>
  <si>
    <t>4500178155-10</t>
  </si>
  <si>
    <t>日期码格式：ZURU INC(BVI) 标准格式 日期：按实际生产日期
Packaging Info: 77485GQ6：B 版 1L MA 收缩膜+进口商贴纸（翻4500135326 &lt;(&gt;&amp;&lt;)&gt; 4500135339）；A 版 1L MA PDQ/B 版 5L MA 收藏指南
Remark: 1、若产品有比例使用ZURU STD 比例
2、所有item 均用MA UPC 条码，若包装不是UPC 条码的请告知
3、此单出欧洲需满足EU测试标准要求</t>
  </si>
  <si>
    <t>A96770-10.30</t>
  </si>
  <si>
    <t>4500176169-10</t>
  </si>
  <si>
    <t>日期码格式：ZURU INC(BVI) 标准格式 日期：按实际生产日期
Packaging Info: 1.ZURU MA UPC 现有版本包装 + 客供价格贴纸，出口美国 , 优先使用MA 1L 最新版本 。
Remark: 1.ZURU MA UPC 现有版本包装 + 客供价格贴纸，出口美国 , 优先使用MA 1L 最新版本 。
2.价格贴纸位于包装正面右下角，不挡住重要信息即可，可适当调整，价格贴纸由跟单提供。
3.标准日期码格式，产品和包装必须有日期码 。
4.同个产品同个货期不可出现不同的包装。
5. 跟单提供ROSS/DD's 箱唛模版和资料，工厂根据实际外箱尺寸，重量排版箱唛来确认。</t>
  </si>
  <si>
    <t>ZB02563-10.23</t>
  </si>
  <si>
    <t>AMAZON FR</t>
  </si>
  <si>
    <t>Amazon FR:
56N6QXYC</t>
  </si>
  <si>
    <t>4500177504-10</t>
  </si>
  <si>
    <t>1.空白外箱（加印带Zuru字样的最新logo，除了邮包盒直接做外箱的产品） + SSCC LABEL一张, 无箱唛，MADE IN CHINA 外箱只印一正一侧。箱唛资料按照给定的
 标准去做即可，无需发回我方再行审批(新标准将另行通知)。</t>
  </si>
  <si>
    <t>欠SSCC贴纸，+1张贴纸(1张IT环保标，参考翻单PO#4500173446)+</t>
  </si>
  <si>
    <t>日期码格式：ZURU INC(BVI) 标准格式 日期：按实际生产日期
Packaging Info: Amazon UK(77785)/FR(77486/9279G)
2. 77486: 2pcs 77485入PVC tube, 12tubes/ctn; MA 3L(5L warning EAN)B 收缩膜(EAN条码用空白贴纸覆盖，空白贴纸尺寸自行裁定)+客版彩卡(UPC#+英法德意西
5L警示语+FR/ES环保标+GPSR邮箱care@zuru.com，参考翻单TJX US PO#4500171907)+1张贴纸(1张IT环保标，参考翻单PO#4500173446)+MA 3L(5L warning)C收藏指南
+其他MA最新配套包装;
4. 验货时间不迟于2025/10/17.
Remark: 1.空白外箱（加印带Zuru字样的最新logo，除了邮包盒直接做外箱的产品） + SSCC LABEL一张, 无箱唛，MADE IN CHINA 外箱只印一正一侧。箱唛资料按照给定的
标准去做即可，无需发回我方再行审批(新标准将另行通知)。
(SSCC LABEL竖贴在外箱正面的正中间，贴一面即可,贴纸离外箱边距必须至少3.2CM。如竖贴无法满足要求，则横贴。如横贴也无法满足要求，则竖贴，遮到ZURU lo
go无影响), SSCC贴纸由工厂直接跟勤得采购或者工厂自行采购，每一张SSCC Label都是唯一且有不同流水及条码，且需要检查条码是否能正常扫描，另外，此贴纸
印刷不可出现模糊，溢出及粘胶不牢易脱落等现象，如工厂不按此要求导致贴纸有任何问题产生的罚款将由工厂承担一切责任 。
2.出往UK的产品+包装务必打上UKCA logo ，否则客人会退货且当地会有罚款。
3.订单必须经过ZURU QC验货或者工厂自检通过后方可出货，不涉及第三方验货。
4.法国订单要求包装不使用矿物油，请按要求提供以下其中一份文件再出货 ，产品出到法国被相关部门抽检出现包装不符合此要求的，供应商需要为此承担责任，
故此请严格把关。
-油墨物质""""由1 ~ 7个芳香环组成的MOAH""""的包装检测报告，要求限值≤1.0%；
-包装材料清单，包括包装油墨或物质的信息；
-油墨制造商的证书；
5.每一批次出货只能有一个生产日期，不可多个生产日期混在同一批次出货；且零售包装上必须统一加上日期码；外箱对于日期码没有硬性规定；
6.涉及到相关款式会有闪粉的或者微塑料的，请统一默认出无闪粉或者不含微塑料版本；
7.邮包盒及外箱封箱必须是工字型封箱方式；
8.5 Surprise or Mini Brands涉及包装是2个及2个以上的球入PVC桶包装时，单个球上若有UPC#或者EAN#，请用空白贴纸覆盖住，贴纸尺寸自行测量能覆盖原条码即
可；</t>
  </si>
  <si>
    <t>96777-10.31</t>
  </si>
  <si>
    <t>THE HAMLEYS GROUP LTD</t>
  </si>
  <si>
    <t>HLL-PO-000015
760</t>
  </si>
  <si>
    <t>4500178312-20</t>
  </si>
  <si>
    <t>日期码格式：ZURU INC(BVI) 标准格式 日期：按实际生产日期
Packaging Info:
77485:MA 3L EAN最新包装+UPC贴纸，UPC:193052057105
Remark: "*MA版本按工厂现有最新库存即可，订单出英国，请注意检查产品及包装应带UKCA图标，包装显示ZURU UK LTD信息，QC同事请查核，如有问题与跟单确认
*生产日期按实际（法定工作日），按ZURU标准格式即可 ，但是请知悉包装日期码需要早于或者等于外箱日期码 ，不能晚于外箱日期码
*请注意所有订单都需要经过ZURU QC验货并且通过后方可出货
*所有产品按符合欧洲标准走货，需要是不含微塑料版本 。
*涉及到硼的，如可选择情况下应使用低硼版本 （slime 类别低硼一般低于300ppm)，无选择的应与跟单复核再安排 。
*如果出运产品属于电子类产品需要在ZURU 包装基础上额外添加一张ZURU 标准30L通用WEEE 电子产品说明书,带电池出货的加带电池出货版本通用30L的说明书，不
带电池出货的产品用不带电池出货版本的说明书.
*在CRD前1周提供指定格式的自检报告
* 大货样： 新款请在CRD前10天寄出每款2整套大货样到罗湖办公室7B Aaron Xia 收，翻单不用寄。</t>
  </si>
  <si>
    <t>Aaron Xia</t>
  </si>
  <si>
    <t>96916-11.3</t>
  </si>
  <si>
    <t>PO# 33036</t>
  </si>
  <si>
    <t>4500179366-30</t>
  </si>
  <si>
    <t>日期码格式：ZURU INC(BVI) 标准格式 日期：按实际生产日期
Packaging Info: 1. ZURU 标准日期码格式，
2. 无第三方测试和验货，ZURU 内部QC验货即可出货
Remark: 3. 优先 MA 1L UPC包装;
4. 纸箱印ZURU LOGO，出口美国；</t>
  </si>
  <si>
    <t>ZB02660-10.27</t>
  </si>
  <si>
    <t>ZMPO250959</t>
  </si>
  <si>
    <t>Remark:大货最新版本/只需要齐全套散件/麻烦用胶袋分装好一套为一袋;备注： 收到样品订单后尽快安排 ，注意样板品质质量要求要高于大货品质质量 ，送货时必须要附带送货单(没有送货单和QC检验合格报告的仓库一律拒绝收货)，请知悉，谢谢！</t>
  </si>
  <si>
    <t>4500176581-10</t>
  </si>
  <si>
    <t>日期码格式：ZURU INC(BVI) 标准格式 日期：按实际生产日期
Packaging Info: 1.ZURU MA UPC 现有版本包装 + 客供价格贴纸，出口美国 , 优先使用MA 1L 最新版本 。
Remark: 1.ZURU MA UPC 现有版本包装 + 客供价格贴纸，出口美国 , 优先使用MA 1L 最新版本 。
2.价格贴纸位于包装正面右下角，不挡住重要信息即可，可适当调整，价格贴纸由跟单提供。
3.标准日期码格式，产品和包装必须有日期码 。
4.同个产品同个货期不可出现不同的包装。
5. 跟单提供ROSS/DDS通用的箱唛模版，工厂根据箱唛资料提供箱唛排版来确认。
6. PVC 桶中球不能出现完全相同的ASSORTMENT ， 即同一个PVC 中球里的ASSORTMENT 需要不同。 以免消费者失望。
7.PVC 桶中球的UPC条码可以不需要空白贴纸覆盖</t>
  </si>
  <si>
    <t>ZB03147-11.28</t>
  </si>
  <si>
    <t>WALGREENS CO.</t>
  </si>
  <si>
    <t>4500182963-70</t>
  </si>
  <si>
    <r>
      <rPr>
        <sz val="11"/>
        <color rgb="FF010CDD"/>
        <rFont val="宋体"/>
        <charset val="134"/>
        <scheme val="minor"/>
      </rPr>
      <t>WIC</t>
    </r>
    <r>
      <rPr>
        <sz val="9"/>
        <color rgb="FF010CDD"/>
        <rFont val="宋体"/>
        <charset val="134"/>
      </rPr>
      <t>贴纸（</t>
    </r>
    <r>
      <rPr>
        <sz val="9"/>
        <color rgb="FF010CDD"/>
        <rFont val="STSong-Light-Identity-H"/>
        <charset val="134"/>
      </rPr>
      <t>WIC#744431</t>
    </r>
    <r>
      <rPr>
        <sz val="9"/>
        <color rgb="FF010CDD"/>
        <rFont val="宋体"/>
        <charset val="134"/>
      </rPr>
      <t>）</t>
    </r>
  </si>
  <si>
    <t>日期码格式：ZURU INC(BVI) 标准格式 日期：12-08-2025
Packaging Info: 取消11/21抽板,工厂只需在12/4 完成100%大货并通过ZURU 验货就可以出货.
请确保所来来料测试符合美国联邦和各州法规后才可以做大货。
Remark: 客版1L PDQ +MA 1L包装 + WIC贴纸（WIC#744431）+ MA 收藏指南 + PDQ折页 （同PO 4500142744）
产品和包装上面要有ZURU 标准格式TRACKING CODE， DG20251208</t>
  </si>
  <si>
    <t>ZB03378-12.11</t>
  </si>
  <si>
    <t>4500182963-80</t>
  </si>
  <si>
    <t>ZB03379-12.11</t>
  </si>
  <si>
    <t>I-VISION TOYS.INC</t>
  </si>
  <si>
    <t>韩国</t>
  </si>
  <si>
    <t>IVI-0930PM</t>
  </si>
  <si>
    <t>4500182298-20</t>
  </si>
  <si>
    <t>1张韩语贴纸</t>
  </si>
  <si>
    <t>日期码格式：ZURU INC(BVI) 标准格式 日期：按实际生产日期
Packaging Info: 
77485GQ6： MA 1L 收缩膜 ,+1张韩语贴纸， MA 收藏指南
Remark: 出韩国吸塑等塑料需PET材质，有法律法规要求，需符合KC测试标准，产品品质需严格跟到寄出测试办一致
出韩国的产品配套的电池必须有KC 认证，此单9561的配套电池LR44 BATTERIES 需用莞特电池，
电池供应商为莞特"Dongguan guante electronics techology Co.,Ltd“</t>
  </si>
  <si>
    <t>97046-11.27</t>
  </si>
  <si>
    <t>4500182963-10</t>
  </si>
  <si>
    <t>ZB03372-12.11</t>
  </si>
  <si>
    <t>4500182963-20</t>
  </si>
  <si>
    <t>ZB03373-12.11</t>
  </si>
  <si>
    <t>4500182963-30</t>
  </si>
  <si>
    <t>ZB03374-12.11</t>
  </si>
  <si>
    <t>4500182963-40</t>
  </si>
  <si>
    <t>ZB03375-12.11</t>
  </si>
  <si>
    <t>4500182963-50</t>
  </si>
  <si>
    <t>ZB03376-12.11</t>
  </si>
  <si>
    <t>4500182963-60</t>
  </si>
  <si>
    <t>ZB03377-12.11</t>
  </si>
  <si>
    <t>4500182963-90</t>
  </si>
  <si>
    <t>ZB03380-12.11</t>
  </si>
  <si>
    <t>4500184367-20</t>
  </si>
  <si>
    <t>日期码格式：ZURU INC(BVI) 标准格式 日期：按实际生产日期
Packaging Info: 1. STD Items
Remark: 1. Cus Item
#77486：MA UPC 现有包装+PVC桶，铜板纸+客供价格贴纸，优先使用MA 1L最新版本
2.价格贴纸位于包装正面右下角，不挡住重要信息即可，可适当调整，价格贴纸由跟单提供。
3.标准日期码格式，产品和包装必须有日期码 。
4.同个产品同个货期不可出现不同的包装。
5. 跟单提供ROSS/DDS通用的箱唛模版，工厂根据箱唛资料提供箱唛排版来确认。
6. PVC 桶中球不能出现完全相同的ASSORTMENT ， 即同一个PVC 中球里的ASSORTMENT 需要不同。 以免消费者失望。
7.PVC 桶中球的UPC条码可以不需要空白贴纸覆盖</t>
  </si>
  <si>
    <t>ZB03340R1-12.12</t>
  </si>
  <si>
    <t>4500181141-40</t>
  </si>
  <si>
    <r>
      <rPr>
        <sz val="9"/>
        <color rgb="FF010CDD"/>
        <rFont val="宋体"/>
        <charset val="134"/>
      </rPr>
      <t>进口商贴纸</t>
    </r>
    <r>
      <rPr>
        <sz val="9"/>
        <color rgb="FF010CDD"/>
        <rFont val="STSong-Light-Identity-H"/>
        <charset val="134"/>
      </rPr>
      <t>+UPC</t>
    </r>
    <r>
      <rPr>
        <sz val="9"/>
        <color rgb="FF010CDD"/>
        <rFont val="宋体"/>
        <charset val="134"/>
      </rPr>
      <t>贴纸</t>
    </r>
  </si>
  <si>
    <t>日期码格式：ZURU INC(BVI) 标准格式 日期：按实际生产日期
Packaging Info:77485GQ7:MA 多语EAN包装+进口商贴纸+UPC贴纸+箱唛
Remark: 进口商贴纸内容会显示日期码为：2025-12，包装/产品/外箱可按ZURU标准日期码，不需要跟回进口商贴纸上的日期码</t>
  </si>
  <si>
    <t>97180-12.10</t>
  </si>
  <si>
    <t>Marshalls
PO#533156,SKU
#892269
DC#881-204PCS
,
DC#884-156PCS
,
DC#886-240PCS
,
DC#887-192PCS
,
DC#888-204PCS</t>
  </si>
  <si>
    <t>4500183797-50</t>
  </si>
  <si>
    <r>
      <rPr>
        <sz val="9"/>
        <color rgb="FF010CDD"/>
        <rFont val="宋体"/>
        <charset val="134"/>
      </rPr>
      <t>价格贴纸，价格贴纸客供。</t>
    </r>
    <r>
      <rPr>
        <sz val="9"/>
        <color rgb="FF010CDD"/>
        <rFont val="STSong-Light-Identity-H"/>
        <charset val="134"/>
      </rPr>
      <t xml:space="preserve">
 2PK</t>
    </r>
    <r>
      <rPr>
        <sz val="9"/>
        <color rgb="FF010CDD"/>
        <rFont val="宋体"/>
        <charset val="134"/>
      </rPr>
      <t>的球用无条码收缩膜或加空白贴纸覆盖原条码</t>
    </r>
  </si>
  <si>
    <t>日期码格式：ZURU INC(BVI) 标准格式 日期：按实际生产日期
Packaging Info: MA UPC包装+价格贴纸，价格贴纸客供。
2PK的球用无条码收缩膜或加空白贴纸覆盖原条码
Remark: 1. 产品和包装上印刷tracking code信息，格式为ZURU常规格式。
2. 分5个DC出货，每款产品每个DC的箱唛资料不同。具体分DC数量，请参考后面行项目备注。
3. ZURU QC验货。</t>
  </si>
  <si>
    <t>ZB03263-12.8</t>
  </si>
  <si>
    <t>TJ MAXX
PO#533249,SKU
#170688
DC#891-264PCS
,
DC#894-180PCS
,
DC#896-288PCS
,
DC#897-228PCS
,
DC#898-240PCS</t>
  </si>
  <si>
    <t>4500183798-50</t>
  </si>
  <si>
    <t>ZB03264-12.8</t>
  </si>
  <si>
    <t>TOYZOONA LIMITED</t>
  </si>
  <si>
    <t>肯尼亚</t>
  </si>
  <si>
    <t>4500184858-10</t>
  </si>
  <si>
    <t>97166-12.9</t>
  </si>
  <si>
    <t>1BTKENUX</t>
  </si>
  <si>
    <t>4500184839-10</t>
  </si>
  <si>
    <t>日期码格式：ZURU INC(BVI) 标准格式 日期：按实际生产日期
Packaging Info: 出口加拿大，包装需要至少2/3L UPC版，无硼版本。
#77486 :2PK #77485入PVC圆筒. 收缩膜用客版3L 无UPC版收缩膜，2PK 3L铜版纸； 客版收缩膜和铜版纸图稿跟TJX订单# 4500171907。（两个球的配比不能重复）
，跟Amazon US 的订单合并订购物料。
Remark: 1. Amazon FOB订单，出口CA。外箱最长边不能超过25" （超过了，case pack只能为1），不符合要求的大货，一律不接受。
2. 外箱正面印ZURU Logo + SSCC LABEL（客供贴纸)，侧面印item#（订单上显示的SKU#) + carton size(以工厂实际尺寸为准，单位: inch) + MADE IN CHINA，
日期使用ZURU 标准版本 SSCC Label 显示的是客人自己的item#，SSCC Label 贴在外箱正面的正中间，贴一面即可，跟单订购，贴纸离外箱距必须至少3cm，每一
张SSCC label 都是唯一且有不同流水及条码的，没有损耗，绝对不可贴错 ，否则贴错或损坏一张会导致全部都错，千万要注意: SSCC 贴纸务必要在正中间(可以覆
盖Logo &lt;(&gt;&amp;&lt;)&gt; 箱唛)，否则会影响到仓库扫描识别。
3. 日期码使用ZURU标准版本。
4. 如果大货有要求入邮包盒，则对应的邮包盒上面要打上日期码。
5. 按照客户PO# 装柜/箱号顺序装柜，跟单会提前给到装柜计划。在大货生产/仓库存放时，请留意该装柜要求，以便装柜时不混乱（避免装错/装漏/找不到货号等
）。
6. 出口加拿大，包装需要至少2/3L UPC版，无硼版本。
7.邮包盒上要印刷日期码</t>
  </si>
  <si>
    <t>38L6UOJM</t>
  </si>
  <si>
    <t>4500184839-20</t>
  </si>
  <si>
    <t>57F7NOFY</t>
  </si>
  <si>
    <t>4500184839-30</t>
  </si>
  <si>
    <t>76PAY8DW</t>
  </si>
  <si>
    <t>4500184839-40</t>
  </si>
  <si>
    <t>7BC9D7KG</t>
  </si>
  <si>
    <t>4500184839-50</t>
  </si>
  <si>
    <t>SWATOW PUERTO RICO CORP.</t>
  </si>
  <si>
    <t>4500184568-10</t>
  </si>
  <si>
    <r>
      <rPr>
        <sz val="11"/>
        <color rgb="FF010CDD"/>
        <rFont val="Arial"/>
        <charset val="134"/>
      </rPr>
      <t>3</t>
    </r>
    <r>
      <rPr>
        <sz val="11"/>
        <color rgb="FF010CDD"/>
        <rFont val="宋体"/>
        <charset val="134"/>
      </rPr>
      <t>代迷你小手袋</t>
    </r>
    <r>
      <rPr>
        <sz val="11"/>
        <color rgb="FF010CDD"/>
        <rFont val="Arial"/>
        <charset val="134"/>
      </rPr>
      <t xml:space="preserve">
</t>
    </r>
    <r>
      <rPr>
        <sz val="11"/>
        <color rgb="FF010CDD"/>
        <rFont val="宋体"/>
        <charset val="134"/>
      </rPr>
      <t>展示架</t>
    </r>
    <r>
      <rPr>
        <sz val="11"/>
        <color rgb="FF010CDD"/>
        <rFont val="Arial"/>
        <charset val="134"/>
      </rPr>
      <t>/</t>
    </r>
    <r>
      <rPr>
        <sz val="11"/>
        <color rgb="FF010CDD"/>
        <rFont val="宋体"/>
        <charset val="134"/>
      </rPr>
      <t>带底座</t>
    </r>
  </si>
  <si>
    <t>日期码格式：ZURU INC(BVI) 标准格式 日期：按实际生产日期
Packaging Info: 1. ZURU MA （首选1L/多语可以接受）UPC包装
Remark: 2. 产品和包装上印刷tracking code信息，格式为ZURU常规
3. 外箱需要印ZURU LOGO, 箱唛资料由跟单提供
4. ZURU 验货通过后便可出货</t>
  </si>
  <si>
    <t>ZB03561R1-12.27</t>
  </si>
  <si>
    <t>4500179365-30</t>
  </si>
  <si>
    <t>欠进口商贴纸+UPC贴纸</t>
  </si>
  <si>
    <t>TJ MAXX
PO#534823,
SKU#171167</t>
  </si>
  <si>
    <t>4500183810-50</t>
  </si>
  <si>
    <r>
      <rPr>
        <sz val="9"/>
        <rFont val="宋体"/>
        <charset val="134"/>
      </rPr>
      <t>价格贴纸，价格贴纸客供。</t>
    </r>
    <r>
      <rPr>
        <sz val="9"/>
        <rFont val="STSong-Light-Identity-H"/>
        <charset val="134"/>
      </rPr>
      <t xml:space="preserve">
 2PK</t>
    </r>
    <r>
      <rPr>
        <sz val="9"/>
        <rFont val="宋体"/>
        <charset val="134"/>
      </rPr>
      <t>的球用无条码收缩膜或加空白贴纸覆盖原条码</t>
    </r>
  </si>
  <si>
    <t>日期码格式：ZURU INC(BVI) 标准格式 日期：按实际生产日期
Packaging Info: MA UPC包装+价格贴纸，价格贴纸客供。
2PK的球用无条码收缩膜或加空白贴纸覆盖原条码
Remark: 1. 产品和包装上印刷tracking code信息，格式为ZURU常规格式。
2. 1个DC#893出货。
3. ZURU QC验货。</t>
  </si>
  <si>
    <t>Marshalls
PO#534820,
SKU#892750</t>
  </si>
  <si>
    <t>4500183806-50</t>
  </si>
  <si>
    <t>日期码格式：ZURU INC(BVI) 标准格式 日期：按实际生产日期
Packaging Info: MA UPC包装+价格贴纸，价格贴纸客供。
2PK的球用无条码收缩膜或加空白贴纸覆盖原条码
Remark: 1. 产品和包装上印刷tracking code信息，格式为ZURU常规格式。
2. 1个DC#883出货
3. ZURU QC验货。</t>
  </si>
  <si>
    <t>4500185285-20</t>
  </si>
  <si>
    <t>日期码格式：ZURU INC(BVI) 标准格式 日期：按实际生产日期
Packaging Info: 1. Cus Item ： MA UPC 现有包装+PVC桶, 铜板纸+客供价格贴纸，优先使用MA 1L最新版本
Remark: 1. Cus Item ： MA UPC 现有包装+PVC桶, 铜板纸+客供价格贴纸，优先使用MA 1L最新版本
2.价格贴纸位于包装正面右下角，不挡住重要信息即可，可适当调整，价格贴纸由跟单提供。
3.标准日期码格式，产品和包装必须有日期码 。
4.同个产品同个货期不可出现不同的包装。
5. 跟单提供ROSS/DDS通用的箱唛模版，工厂根据箱唛资料提供箱唛排版来确认。
6. PVC 桶中球不能出现完全相同的ASSORTMENT ， 即同一个PVC 中球里的ASSORTMENT 需要不同。 以免消费者失望。
7.PVC 桶中球的UPC条码可以不需要空白贴纸覆盖</t>
  </si>
  <si>
    <t>4500187228-10</t>
  </si>
  <si>
    <t>价格贴纸，价格贴纸客供。2PK的球用无条码收缩膜或加空白贴纸覆盖原条码</t>
  </si>
  <si>
    <t>日期码格式：ZURU INC(BVI) 标准格式 日期：按实际生产日期
Packaging Info: MA UPC包装(优先1L)+价格贴纸，价格贴纸客供。2PK的球用无条码收缩膜或加空白贴纸覆盖原条码。
价格贴纸贴在产品正面无遮挡任何文字或图案的地方，优先正面右上角。如有疑问/位置不够，请找我们确认位置。之前确认过的款就无需再重复确认了。
Remark: 1. 产品和包装上印刷tracking code信息，格式为ZURU常规格式。
2. ZURU QC验货。
3. 每款都只分1个DC出货，明细如下：
item#77486: Marshalls PO#765819,SKU#899631 DC#882-804PCS;</t>
  </si>
  <si>
    <t>4500187232-10</t>
  </si>
  <si>
    <t>日期码格式：ZURU INC(BVI) 标准格式 日期：按实际生产日期
Packaging Info: MA UPC包装(优先1L)+价格贴纸，价格贴纸客供。2PK的球用无条码收缩膜或加空白贴纸覆盖原条码。
价格贴纸贴在产品正面无遮挡任何文字或图案的地方，优先正面右上角。如有疑问/位置不够，请找我们确认位置。之前确认过的款就无需再重复确认了。
Remark: 1. 产品和包装上印刷tracking code信息，格式为ZURU常规格式。
2. ZURU QC验货。
3. 分5个DC出货，每款产品每个DC的箱唛资料不同，具体DC数量如下：
item#77486: TJ MAXX PO#765820,SKU#178290 DC#891-204PCS, DC#894-168PCS, DC#896-156PCS, DC#897-312PCS, DC#898-156PCS;</t>
  </si>
  <si>
    <t>4500187231-40</t>
  </si>
  <si>
    <t>日期码格式：ZURU INC(BVI) 标准格式 日期：按实际生产日期
Packaging Info: MA UPC包装(优先1L)+价格贴纸，价格贴纸客供。2PK的球用无条码收缩膜或加空白贴纸覆盖原条码。
价格贴纸贴在产品正面无遮挡任何文字或图案的地方，优先正面右上角。如有疑问/位置不够，请找我们确认位置。之前确认过的款就无需再重复确认了。
Remark: 1. 产品和包装上印刷tracking code信息，格式为ZURU常规格式。
2. ZURU QC验货。
3. 每款都只分1个DC出货，明细如下：
item#77486: Marshalls PO#770791,SKU#899823 DC#882-996PCS;</t>
  </si>
  <si>
    <t>4500187236-40</t>
  </si>
  <si>
    <t>日期码格式：ZURU INC(BVI) 标准格式 日期：按实际生产日期
Packaging Info: MA UPC包装(优先1L)+价格贴纸，价格贴纸客供。2PK的球用无条码收缩膜或加空白贴纸覆盖原条码。
价格贴纸贴在产品正面无遮挡任何文字或图案的地方，优先正面右上角。如有疑问/位置不够，请找我们确认位置。之前确认过的款就无需再重复确认了。
Remark: 1. 产品和包装上印刷tracking code信息，格式为ZURU常规格式。
2. ZURU QC验货。
3. 分5个DC出货，每款产品每个DC的箱唛资料不同，具体DC数量如下：
item#77486: TJ MAXX PO#770793,SKU#178471 DC#891-264PCS, DC#894-204PCS, DC#896-168PCS, DC#897-336PCS, DC#898-228PCS;</t>
  </si>
  <si>
    <t>4L5WI4ER</t>
  </si>
  <si>
    <t>4500186530-40</t>
  </si>
  <si>
    <t>SSCC Label(客供贴纸，由跟单订购</t>
  </si>
  <si>
    <t>日期码格式：ZURU INC(BVI) 标准格式 日期：按实际生产日期
Packaging Info: 
#77486 :2PK #77485入PVC圆筒. 收缩膜用客版3L 无UPC版收缩膜，2PK 3L铜版纸； 客版收缩膜和铜版纸图稿跟TJX订单# 4500171907。（两个球的配比不能重复）
，跟Amazon US 的订单合并订购物料。
Remark: 1. Amazon FOB订单，出口CA。外箱最长边不能超过25" （超过了，case pack只能为1），不符合要求的大货，一律不接受。
2. 外箱正面印ZURU Logo + SSCC LABEL（客供贴纸)，侧面印item#（订单上显示的SKU#) + carton size(以工厂实际尺寸为准，单位: inch) + MADE IN CHINA，
日期使用ZURU 标准版本 SSCC Label 显示的是客人自己的item#，SSCC Label 贴在外箱正面的正中间，贴一面即可，跟单订购，贴纸离外箱距必须至少3cm，每一
张SSCC label 都是唯一且有不同流水及条码的，没有损耗，绝对不可贴错 ，否则贴错或损坏一张会导致全部都错，千万要注意: SSCC 贴纸务必要在正中间(可以覆
盖Logo &lt;(&gt;&amp;&lt;)&gt; 箱唛)，否则会影响到仓库扫描识别。
3. 日期码使用ZURU标准版本。
4. 如果大货有要求入邮包盒，则对应的邮包盒上面要打上日期码。
5. 按照客户PO# 装柜/箱号顺序装柜，跟单会提前给到装柜计划。在大货生产/仓库存放时，请留意该装柜要求，以便装柜时不混乱（避免装错/装漏/找不到货号等
）。
6. 出口加拿大，包装需要至少2/3L UPC版，无硼版本。
7.邮包盒上要印刷日期码</t>
  </si>
  <si>
    <t>5M2MXUCL</t>
  </si>
  <si>
    <t>4500184640-110</t>
  </si>
  <si>
    <t>日期码格式：ZURU INC(BVI) 标准格式 日期：按实际生产日期
Packaging Info: 
#77486：2PK #77485入PVC圆筒。收藏指南用MA 5L，收缩膜用MA 1L不带UPC版。2PK铜版纸图稿翻单4500154101。(两个球的配比不能重复)。
Remark: 1. Amazon MDDP订单，出口US。
2. 日期码使用ZURU标准版本。
3. 如果大货有要求入邮包盒，则对应的邮包盒上面要打上日期码。
4. 箱尺寸要求：外箱最长边不能超过25"(超过了，case pack只能为1)，不符合要求的大货，一律不接受。
5. 外箱箱唛要求：
①外箱正面印ZURU Logo+SSCC Label(客供贴纸，由跟单订购)。关于 SSCC Label 请注意：
SSCC Label显示的是客人自己的item#。每一张SSCC label都是唯一且有不同流水及条码的，没有损耗，绝对不可贴错。如果贴错或损坏任何一张，都会导致全部都
错，千万要注意！SSCC Label必须贴在外箱正面的正中间位置(贴一面即可)，并且贴纸离外箱边距必须至少3cm(可以覆盖Logo&lt;(&gt;&amp;&lt;)&gt;箱唛)，否则会影响到客户那边
仓库的扫描识别。
②外箱侧面印item#(订单上显示的SKU#)+carton size(以工厂实际尺寸为准，单位: inch)+MADE IN CHINA，日期使用ZURU 标准版本。
6. 装柜要求：按照客户PO#装柜/箱号顺序装柜，跟单会提前给到装柜计划。
在大货生产/仓库存放时，请留意该装柜要求，以便装柜时不混乱(避免装错/装漏/找不到货号等)。</t>
  </si>
  <si>
    <t>83WFXYJM</t>
  </si>
  <si>
    <t>4500184640-120</t>
  </si>
  <si>
    <t>2ARVEA4U</t>
  </si>
  <si>
    <t>4500184679-110</t>
  </si>
  <si>
    <t>4J4H3NCB</t>
  </si>
  <si>
    <t>4500184679-120</t>
  </si>
  <si>
    <t>8ZQEAWEI</t>
  </si>
  <si>
    <t>4500187446-40</t>
  </si>
  <si>
    <t>SSCC LABEL（客供贴纸</t>
  </si>
  <si>
    <t>日期码格式：ZURU INC(BVI) 标准格式 日期：按实际生产日期
Packaging Info:
#77486 :2PK #77485入PVC圆筒. 收缩膜用客版3L 无UPC版收缩膜，2PK 3L铜版纸； 客版收缩膜和铜版纸图稿跟TJX订单# 4500171907。（两个球的配比不能重复）
Remark: 1. Amazon FOB订单，出口CA。外箱最长边不能超过25" （超过了，case pack只能为1），不符合要求的大货，一律不接受。
2. 外箱正面印ZURU Logo + SSCC LABEL（客供贴纸)，侧面印item#（订单上显示的SKU#) + carton size(以工厂实际尺寸为准，单位: inch) + MADE IN CHINA，
日期使用ZURU 标准版本 SSCC Label 显示的是客人自己的item#，SSCC Label 贴在外箱正面的正中间，贴一面即可，跟单订购，贴纸离外箱距必须至少3cm，每一
张SSCC label 都是唯一且有不同流水及条码的，没有损耗，绝对不可贴错 ，否则贴错或损坏一张会导致全部都错，千万要注意: SSCC 贴纸务必要在正中间(可以覆
盖Logo &lt;(&gt;&amp;&lt;)&gt; 箱唛)，否则会影响到仓库扫描识别。
3. 日期码使用ZURU标准版本。
4. 如果大货有要求入邮包盒，则对应的邮包盒上面要打上日期码。
5. 按照客户PO# 装柜/箱号顺序装柜，跟单会提前给到装柜计划。在大货生产/仓库存放时，请留意该装柜要求，以便装柜时不混乱（避免装错/装漏/找不到货号等
）。
6. 出口加拿大，包装需要至少2/3L UPC版，无硼版本。
7.邮包盒上要印刷日期码</t>
  </si>
  <si>
    <t>6BD1GKRD</t>
  </si>
  <si>
    <t>4500187446-50</t>
  </si>
  <si>
    <t>3RF3XL5U</t>
  </si>
  <si>
    <t>4500187446-60</t>
  </si>
  <si>
    <t>4500189691-170</t>
  </si>
  <si>
    <t>日期码格式：ZURU INC(BVI) 标准格式 日期：按实际生产日期
Packaging Info: 请确保包装上的条形码是UPC，如果是babyUPC，需要用mother UPC覆盖，如有不一致，请及时提出。谢谢!
77485GQ7,,MA 多语EAN包装+UPC贴纸+MA 多语收藏指南+MA多语PDQ+箱唛,,
Remark:
77485GQ7,, With 4pcs Demo/PDQ,,</t>
  </si>
  <si>
    <t>系统下单</t>
  </si>
  <si>
    <t>DOLGENCORP, LLC</t>
  </si>
  <si>
    <t>4500189455-20</t>
  </si>
  <si>
    <t>77485SLB-S005</t>
  </si>
  <si>
    <r>
      <rPr>
        <sz val="12"/>
        <rFont val="宋体"/>
        <charset val="134"/>
        <scheme val="minor"/>
      </rPr>
      <t>日期码格式：ZURU MA格式 日期：按实际生产日期
Packaging Info: 包装： ZURU MA 包装 + ZURU MA PDQ（如带PDQ）+ ZURU说明书或收藏指南（如带有）+ 个别item需要加客户永久性粘度的UPC贴纸。贴纸aws跟单邮件发送。MA包材
优选1L。
Remark: 1. 包装： ZURU MA 包装 + ZURU MA PDQ（如带PDQ）+ ZURU说明书或收藏指南（如带有）+ 个别item需要加客户永久性粘度的UPC贴纸。贴纸aws跟单邮件发送。MA
包材优选1L。
大货外箱材质用ZURU MA的标准规格即可。
客户要求： "产品和包装不能含有PFAS 物质以及1,4 dioxane"出口美国，客户指定实验室做产品测美国标准的实际测试。On and after 20 April 2024, toys mus
t comply with ASTM F963-23.
2.日期码：产品和包装上必须有ZURU MA格式日期码。2者保持一致，避开周末。
3. 此单无价贴。
4. 样板：请尽力1月10日左右初寄出：
不带PDQ的，需要每款每色各两套
带PDQ的，需要2FULL PDQ+3空PDQ大货样给Hailey/Minny，转寄美国 （1PDQ POG样+1PDQ SMSB拍照样）。
5.此单是DDP term，无第三方验货要求。
6.箱唛：此客人要求严格，外箱不接受水贴纸，外箱唛头是客户版本的，跟单邮件发送。
7.此客人不接受任何理由的延期，会有高额罚金产生.
8.此单每款打SLIP SHEET纸滑托后整柜出货.跟单邮件发送打SLIP SHEET的装载图和具体要求。
9.出货配比：MA配比。
10.以下是每款的spec：
#77485SLB-S005-MINI BRANDS-FASHION-SERIES 3-CAPSULE,WITH DEMO,25PCS/GRAVITY PDQ/CTN</t>
    </r>
    <r>
      <rPr>
        <sz val="12"/>
        <color rgb="FFFF0000"/>
        <rFont val="宋体"/>
        <charset val="134"/>
        <scheme val="minor"/>
      </rPr>
      <t>&lt;(&gt;,&lt;)&gt; 750PCS/30CTN/SLIP</t>
    </r>
    <r>
      <rPr>
        <sz val="12"/>
        <rFont val="宋体"/>
        <charset val="134"/>
        <scheme val="minor"/>
      </rPr>
      <t xml:space="preserve"> SHEET
具体的产品item# 77485GQ7-S002
客户SKU# 43986701
客户描述：PSZ26 MINI BRANDS FASHION
ZURU MA UPC#193052057105, 此款无需加UPC贴纸。</t>
    </r>
  </si>
  <si>
    <t>4500186609-20</t>
  </si>
  <si>
    <t>日期码格式：ZURU INC(BVI) 标准格式 日期：按实际生产日期
Packaging Info: 1. STD Items: ZURU MA UPC 现有包装+客供价格贴纸，优先使用MA 1L最新版本（可接受多语）,出口美国
Remark: 1. Cus Item
#77486： MA UPC 现有包装+PVC桶,铜板纸+客供价格贴纸，优先使用MA 1L最新版本
2.价格贴纸位于包装正面右下角，不挡住重要信息即可，可适当调整，价格贴纸由跟单提供。
3.标准日期码格式，产品和包装必须有日期码 。
4.同个产品同个货期不可出现不同的包装。
5. 跟单提供ROSS/DDS通用的箱唛模版，工厂根据箱唛资料提供箱唛排版来确认。
6. PVC 桶中球不能出现完全相同的ASSORTMENT ， 即同一个PVC 中球里的ASSORTMENT 需要不同。 以免消费者失望。
7.PVC 桶中球的UPC条码可以不需要空白贴纸覆盖。</t>
  </si>
  <si>
    <t>3XGOZBNG</t>
  </si>
  <si>
    <t>4500190061-170</t>
  </si>
  <si>
    <t>SSCC LABEL（客供贴纸)</t>
  </si>
  <si>
    <t>日期码格式：ZURU INC(BVI) 标准格式 日期：按实际生产日期
Packaging Info: 出口加拿大，包装需要至少2/3L UPC版，无硼版本。
#77486 :2PK #77485入PVC圆筒. 收缩膜用客版3L 无UPC版收缩膜，2PK 3L铜版纸； 客版收缩膜和铜版纸图稿跟TJX订单# 4500171907。（两个球的配比不能重复）
.
Remark: 1. Amazon FOB订单，出口CA。外箱最长边不能超过25" （超过了，case pack只能为1），不符合要求的大货，一律不接受。
2. 外箱正面印ZURU Logo + SSCC LABEL（客供贴纸)，侧面印item#（订单上显示的SKU#) + carton size(以工厂实际尺寸为准，单位: inch) + MADE IN CHINA，
日期使用ZURU 标准版本 SSCC Label 显示的是客人自己的item#，SSCC Label 贴在外箱正面的正中间，贴一面即可，跟单订购，贴纸离外箱距必须至少3cm，每一
张SSCC label 都是唯一且有不同流水及条码的，没有损耗，绝对不可贴错 ，否则贴错或损坏一张会导致全部都错，千万要注意: SSCC 贴纸务必要在正中间(可以覆
盖Logo &lt;(&gt;&amp;&lt;)&gt; 箱唛)，否则会影响到仓库扫描识别。
3. 日期码使用ZURU标准版本。
4. 如果大货有要求入邮包盒，则对应的邮包盒上面要打上日期码。
5. 按照客户PO# 装柜/箱号顺序装柜，跟单会提前给到装柜计划。在大货生产/仓库存放时，请留意该装柜要求，以便装柜时不混乱（避免装错/装漏/找不到货号等
）。
6. 出口加拿大，包装需要至少2/3L UPC版，无硼版本。
7.邮包盒上要印刷日期码</t>
  </si>
  <si>
    <t>7ZYDKWQJ</t>
  </si>
  <si>
    <t>4500190061-180</t>
  </si>
  <si>
    <t>49OK3CLQ</t>
  </si>
  <si>
    <t>4500190061-190</t>
  </si>
  <si>
    <t>8J516KSE</t>
  </si>
  <si>
    <t>4500190061-200</t>
  </si>
  <si>
    <t>69RFQE8B</t>
  </si>
  <si>
    <t>4500184802-20</t>
  </si>
  <si>
    <t>1Q1BZYLS</t>
  </si>
  <si>
    <t>4500184897-90</t>
  </si>
  <si>
    <t>7XIP3D6T</t>
  </si>
  <si>
    <t>4500184897-100</t>
  </si>
  <si>
    <t>7GUUNDGO</t>
  </si>
  <si>
    <t>4500184902-40</t>
  </si>
  <si>
    <t>日期码格式：ZURU INC(BVI) 标准格式 日期：按实际生产日期
Packaging Info:
#77486：2PK #77485入PVC圆筒。收藏指南用MA 5L，收缩膜用MA 1L不带UPC版。2PK铜版纸图稿翻单4500154101。(两个球的配比不能重复)。
Remark: 1. Amazon MDDP订单，出口US。
2. 日期码使用ZURU标准版本。
3. 如果大货有要求入邮包盒，则对应的邮包盒上面要打上日期码。
4. 箱尺寸要求：外箱最长边不能超过25"(超过了，case pack只能为1)，不符合要求的大货，一律不接受。
5. 外箱箱唛要求：
①外箱正面印ZURU Logo+SSCC Label(客供贴纸，由跟单订购)。关于 SSCC Label 请注意：
SSCC Label显示的是客人自己的item#。每一张SSCC label都是唯一且有不同流水及条码的，没有损耗，绝对不可贴错。如果贴错或损坏任何一张，都会导致全部都
错，千万要注意！SSCC Label必须贴在外箱正面的正中间位置(贴一面即可)，并且贴纸离外箱边距必须至少3cm(可以覆盖Logo&lt;(&gt;&amp;&lt;)&gt;箱唛)，否则会影响到客户那边
仓库的扫描识别。
②外箱侧面印item#(订单上显示的SKU#)+carton size(以工厂实际尺寸为准，单位: inch)+MADE IN CHINA，日期使用ZURU 标准版本。
6. 装柜要求：按照客户PO#装柜/箱号顺序装柜，跟单会提前给到装柜计划。
在大货生产/仓库存放时，请留意该装柜要求，以便装柜时不混乱(避免装错/装漏/找不到货号等)。</t>
  </si>
  <si>
    <t>76U2W5YL</t>
  </si>
  <si>
    <t>4500184901-30</t>
  </si>
  <si>
    <t>CITITRENDS INC</t>
  </si>
  <si>
    <t>0000189847</t>
  </si>
  <si>
    <t>4500191491-30</t>
  </si>
  <si>
    <t>欠客供外箱贴纸</t>
  </si>
  <si>
    <t>日期码格式：ZURU INC(BVI) 标准格式 日期：按实际生产日期
Packaging Info: 1：MA UPC（首选1L/多语言) 包装 + 客供价格贴纸 (跟单提供）
每个产品有一个价格贴纸, 价格贴放在每个产品的正面右下角，贴的时候要是会覆盖包装上重要的信息和图案，需要告知跟单。
Remark: 2：产品和包装要加上tracking code, 格式为ZURU常规格式
3. 整柜FCL 出货，（装柜工厂）装柜时最后一箱正唛贴上装箱单, 装箱单需用塑胶袋装好贴在其中一箱上，装柜的时候放在柜们旁。</t>
  </si>
  <si>
    <t>4500186326-10</t>
  </si>
  <si>
    <t>日期码格式：ZURU INC(BVI) 标准格式 日期：按实际生产日期
Packaging Info: 1. STD Items: ZURU MA UPC 现有包装+客供价格贴纸，优先使用MA 1L最新版本（可接受多语）,出口美国
Remark: 1. Cus Item
#77486: MA UPC 现有包装+PVC桶, 铜板纸+客供价格贴纸，优先使用MA 1L最新版本
2.价格贴纸位于包装正面右下角，不挡住重要信息即可，可适当调整，价格贴纸由跟单提供。
3.标准日期码格式，产品和包装必须有日期码 。
4.同个产品同个货期不可出现不同的包装。
5. 跟单提供ROSS/DDS通用的箱唛模版，工厂根据箱唛资料提供箱唛排版来确认。
6. PVC 桶中球不能出现完全相同的ASSORTMENT ， 即同一个PVC 中球里的ASSORTMENT 需要不同。 以免消费者失望。
7.PVC 桶中球的UPC条码可以不需要空白贴纸覆盖</t>
  </si>
  <si>
    <t>4500192280-10</t>
  </si>
  <si>
    <t>玩具订单一般都是第三方视频验货,实际不会有第三方的人到厂验货; 需按照客人要求提供2轮照片;
第一轮是产品包装/纸箱/堆码等情况下的照片;
第二轮是VO number打印出来,站在货物前的照片;待提供VO number,靠近货期才有;
照片标准可参考此客人前期出货的订单,做完货请帮忙同步提供照片;</t>
  </si>
  <si>
    <t>日期码格式：ZURU INC(BVI) 标准格式 日期：按实际生产日期
Packaging Info: 1.MA UPC(优先1L) package+SNI label;贴纸资料待提供;
2.此单是交SZ 普通仓库跟客人其他货一起拼柜,无散货进仓费,是按照整柜的本地费收费标准;
PO先开出厂价,发票请按照出厂价开,如有问题,请在出发票前同我沟通以防后续修改事项;
3.可能会需样板做测试, 也有可能有第三方验货,请等我们进一步通知;
4.玩具订单一般都是第三方视频验货,实际不会有第三方的人到厂验货; 需按照客人要求提供2轮照片;
第一轮是产品包装/纸箱/堆码等情况下的照片;
第二轮是VO number打印出来,站在货物前的照片;待提供VO number,靠近货期才有;
照片标准可参考此客人前期出货的订单,做完货请帮忙同步提供照片;
Remark:</t>
  </si>
  <si>
    <t>4500193766-70</t>
  </si>
  <si>
    <t>日期码格式：ZURU INC(BVI) 标准格式 日期：按实际生产日期
Packaging Info: MA UPC包装(优先1L)+价格贴纸，价格贴纸客供。2PK的球用无条码收缩膜或加空白贴纸覆盖原条码。
Remark: 1. 产品和包装上印刷tracking code信息，格式为ZURU常规格式。
2. ZURU QC验货。
3. 分5个DC出货，每款产品每个DC的箱唛资料不同，具体DC数量如下：
item#77486: Marshalls PO#272591,SKU#913087 DC#881-468PCS, DC#884-360PCS, DC#886-504PCS, DC#887-420PCS, DC#888-444PCS</t>
  </si>
  <si>
    <t>4500193767-70</t>
  </si>
  <si>
    <t>4500193621-10</t>
  </si>
  <si>
    <t>日期码格式：ZURU INC(BVI) 标准格式 日期：按实际生产日期
Packaging Info: 1. 出口美国，MA UPC 版本包装，优先1L。
Remark: 2. ZURU QC 验货即可。</t>
  </si>
  <si>
    <t>4500193768-40</t>
  </si>
  <si>
    <t>4500193769-40</t>
  </si>
  <si>
    <t>4500193110-110</t>
  </si>
  <si>
    <t xml:space="preserve"> 产品和包装上面要有zuru标准格式的tracking code DG20260407</t>
  </si>
  <si>
    <t>WIC贴纸（WIC#744431）+ PDQ折页 （同PO 4500142744）</t>
  </si>
  <si>
    <t>日期码格式：ZURU INC(BVI) 标准格式 日期：04-07-2026
Packaging Info: 
77485GQ4：客版1L PDQ +MA 1L包装 + WIC贴纸（WIC#744431）+ MA 收藏指南 + PDQ折页 （同PO 4500142744）
Remark: 产品和包装上面要有zuru标准格式的tracking code DG20260407</t>
  </si>
  <si>
    <t>4500193110-120</t>
  </si>
  <si>
    <t>4500193110-130</t>
  </si>
  <si>
    <t>4500193110-140</t>
  </si>
  <si>
    <t>4500193110-150</t>
  </si>
  <si>
    <t>4500193110-160</t>
  </si>
  <si>
    <t>4500193110-170</t>
  </si>
  <si>
    <t>4500193110-180</t>
  </si>
  <si>
    <t>4500193110-190</t>
  </si>
  <si>
    <t>IVI-0205PMD</t>
  </si>
  <si>
    <t>4500194073-30</t>
  </si>
  <si>
    <t>日期码格式：ZURU INC(BVI) 标准格式 日期：按实际生产日期
Packaging Info:
77485GQ6： MA 1L 收缩膜 ,+1张韩语贴纸， MA 收藏指南， MA PDQ , 优先1L ， 箱唛翻单4500182298
Remark: 由于韩国法律法规要求，吸塑需PET材质，产品需符合韩国KC测试标准。</t>
  </si>
  <si>
    <t>4500193377-10</t>
  </si>
  <si>
    <t xml:space="preserve">日期码格式：ZURU INC(BVI) 标准格式 日期：按实际生产日期
Packaging Info: MA PKG ,优先1L
Remark: </t>
  </si>
  <si>
    <t>46USTHPW</t>
  </si>
  <si>
    <t>4500193215-10</t>
  </si>
  <si>
    <t>6W2SGBGK</t>
  </si>
  <si>
    <t>4500193215-20</t>
  </si>
  <si>
    <t>63E2ZB8K</t>
  </si>
  <si>
    <t>4500193215-30</t>
  </si>
  <si>
    <t>1GRIYWTS</t>
  </si>
  <si>
    <t>4500193215-40</t>
  </si>
  <si>
    <t>69PCJAZJ</t>
  </si>
  <si>
    <t>4500193215-50</t>
  </si>
  <si>
    <t>4500193772-10</t>
  </si>
  <si>
    <t>日期码格式：ZURU INC(BVI) 标准格式 日期：按实际生产日期
Packaging Info: MA UPC包装(优先1L)+价格贴纸，价格贴纸客供。2PK的球用无条码收缩膜或加空白贴纸覆盖原条码。
Remark: 1. 产品和包装上印刷tracking code信息，格式为ZURU常规格式。
2. ZURU QC验货。
3. 分5个DC出货，每款产品每个DC的箱唛资料不同，具体DC数量如下：
item#77486: Marshalls PO#272593,SKU#913212 DC#881-468PCS, DC#884-360PCS, DC#886-504PCS, DC#887-420PCS, DC#888-444PCS</t>
  </si>
  <si>
    <t>4500193773-10</t>
  </si>
  <si>
    <t>日期码格式：ZURU INC(BVI) 标准格式 日期：按实际生产日期
Packaging Info: MA UPC包装(优先1L)+价格贴纸，价格贴纸客供。2PK的球用无条码收缩膜或加空白贴纸覆盖原条码。
Remark: 1. 产品和包装上印刷tracking code信息，格式为ZURU常规格式。
2. ZURU QC验货。
3. 分5个DC出货，每款产品每个DC的箱唛资料不同，具体DC数量如下：
item#77486: TJ MAXX PO#272597,SKU#192438 DC#891-504PCS, DC#894-408PCS, DC#896-336PCS, DC#897-672PCS, DC#898-480PCS</t>
  </si>
  <si>
    <t>4500186354-30</t>
  </si>
  <si>
    <t>日期码格式：ZURU INC(BVI) 标准格式 日期：按实际生产日期
Packaging Info: 1. Cus Item
#77486 ： MA UPC 现有包装+PVC桶，铜板纸+客供价格贴纸，优先使用MA 1L最新版本
Remark: 1. Cus Item
#77486 ： MA UPC 现有包装+PVC桶，铜板纸+客供价格贴纸，优先使用MA 1L最新版本
2.价格贴纸位于包装正面右下角，不挡住重要信息即可，可适当调整，价格贴纸由跟单提供。
3.标准日期码格式，产品和包装必须有日期码 。
4.同个产品同个货期不可出现不同的包装。
5. 跟单提供ROSS/DDS通用的箱唛模版，工厂根据箱唛资料提供箱唛排版来确认。
6. PVC 桶中球不能出现完全相同的ASSORTMENT ， 即同一个PVC 中球里的ASSORTMENT 需要不同。 以免消费者失望。
7.PVC 桶中球的UPC条码可以不需要空白贴纸覆盖</t>
  </si>
  <si>
    <t>4500186375-30</t>
  </si>
  <si>
    <t>日期码格式：ZURU INC(BVI) 标准格式 日期：按实际生产日期
Packaging Info: 1. STD Items: ZURU MA UPC 现有包装+客供价格贴纸，优先使用MA 1L最新版本（可接受多语）,出口美国
Remark: 1. Cus Item
77486： MA UPC 现有包装+PVC桶&lt;(&gt;&amp;&lt;)&gt;铜板纸+客供价格贴纸，优先使用MA 1L最新版本
2.价格贴纸位于包装正面右下角，不挡住重要信息即可，可适当调整，价格贴纸由跟单提供。
3.标准日期码格式，产品和包装必须有日期码 。
4.同个产品同个货期不可出现不同的包装。
5. 跟单提供ROSS/DDS通用的箱唛模版，工厂根据箱唛资料提供箱唛排版来确认。
6. PVC 桶中球不能出现完全相同的ASSORTMENT ， 即同一个PVC 中球里的ASSORTMENT 需要不同。 以免消费者失望。
7.PVC 桶中球的UPC条码可以不需要空白贴纸覆盖。</t>
  </si>
  <si>
    <t xml:space="preserve"> </t>
  </si>
  <si>
    <t>·</t>
  </si>
  <si>
    <t>Matrix (L)</t>
  </si>
  <si>
    <t>包包</t>
  </si>
  <si>
    <t>Ratio MA 配比</t>
  </si>
  <si>
    <t>鞋子用量</t>
  </si>
  <si>
    <t>PDQ Demo</t>
  </si>
  <si>
    <t>2024年删除数</t>
  </si>
  <si>
    <t>组合1</t>
  </si>
  <si>
    <t>1#</t>
  </si>
  <si>
    <t>红色高跟鞋</t>
  </si>
  <si>
    <r>
      <rPr>
        <b/>
        <sz val="12"/>
        <color rgb="FF00B050"/>
        <rFont val="Times New Roman"/>
        <charset val="0"/>
      </rPr>
      <t xml:space="preserve">#1 </t>
    </r>
    <r>
      <rPr>
        <b/>
        <sz val="12"/>
        <color rgb="FF008080"/>
        <rFont val="宋体"/>
        <charset val="0"/>
      </rPr>
      <t>包包</t>
    </r>
  </si>
  <si>
    <t>组合2</t>
  </si>
  <si>
    <t>2#</t>
  </si>
  <si>
    <t>黑色高跟鞋</t>
  </si>
  <si>
    <r>
      <rPr>
        <b/>
        <sz val="12"/>
        <color rgb="FF00B050"/>
        <rFont val="Times New Roman"/>
        <charset val="0"/>
      </rPr>
      <t xml:space="preserve">#17 </t>
    </r>
    <r>
      <rPr>
        <b/>
        <sz val="12"/>
        <color rgb="FF008080"/>
        <rFont val="宋体"/>
        <charset val="0"/>
      </rPr>
      <t>鞋子</t>
    </r>
  </si>
  <si>
    <t>组合3</t>
  </si>
  <si>
    <t>3#</t>
  </si>
  <si>
    <t>蓝色高跟鞋</t>
  </si>
  <si>
    <r>
      <rPr>
        <b/>
        <sz val="12"/>
        <color rgb="FF00B050"/>
        <rFont val="Times New Roman"/>
        <charset val="0"/>
      </rPr>
      <t xml:space="preserve">#4 </t>
    </r>
    <r>
      <rPr>
        <b/>
        <sz val="12"/>
        <color rgb="FF008080"/>
        <rFont val="宋体"/>
        <charset val="0"/>
      </rPr>
      <t>包包</t>
    </r>
  </si>
  <si>
    <t>组合4</t>
  </si>
  <si>
    <t>4#</t>
  </si>
  <si>
    <t>粉色铆钉鞋</t>
  </si>
  <si>
    <r>
      <rPr>
        <b/>
        <sz val="12"/>
        <color rgb="FF00B050"/>
        <rFont val="Times New Roman"/>
        <charset val="0"/>
      </rPr>
      <t xml:space="preserve">#11 </t>
    </r>
    <r>
      <rPr>
        <b/>
        <sz val="12"/>
        <color rgb="FF008080"/>
        <rFont val="宋体"/>
        <charset val="0"/>
      </rPr>
      <t>包包</t>
    </r>
  </si>
  <si>
    <t>组合5</t>
  </si>
  <si>
    <t>5#</t>
  </si>
  <si>
    <t>松糕鞋</t>
  </si>
  <si>
    <t>组合6</t>
  </si>
  <si>
    <t>6#</t>
  </si>
  <si>
    <t>粉色植绒拖鞋</t>
  </si>
  <si>
    <t>SK Demo 不含鞋子</t>
  </si>
  <si>
    <t>组合7</t>
  </si>
  <si>
    <t>7#</t>
  </si>
  <si>
    <t>小香风拖鞋</t>
  </si>
  <si>
    <t>#3包包</t>
  </si>
  <si>
    <t>组合8</t>
  </si>
  <si>
    <t>8#</t>
  </si>
  <si>
    <t>红色短靴</t>
  </si>
  <si>
    <t>3#粉色鸭舌帽</t>
  </si>
  <si>
    <t>组合9</t>
  </si>
  <si>
    <t>9#</t>
  </si>
  <si>
    <t>马丁靴</t>
  </si>
  <si>
    <t>#20包包</t>
  </si>
  <si>
    <t>组合10</t>
  </si>
  <si>
    <t>10#</t>
  </si>
  <si>
    <t>绿底短靴</t>
  </si>
  <si>
    <t>组合11</t>
  </si>
  <si>
    <t>11#</t>
  </si>
  <si>
    <t>裸色短靴</t>
  </si>
  <si>
    <t>SK1 Demo</t>
  </si>
  <si>
    <t>组合12</t>
  </si>
  <si>
    <t>12#</t>
  </si>
  <si>
    <t>黑色高筒靴</t>
  </si>
  <si>
    <r>
      <rPr>
        <b/>
        <sz val="12"/>
        <color rgb="FF00B050"/>
        <rFont val="Times New Roman"/>
        <charset val="0"/>
      </rPr>
      <t>#21</t>
    </r>
    <r>
      <rPr>
        <b/>
        <sz val="12"/>
        <color indexed="21"/>
        <rFont val="宋体"/>
        <charset val="134"/>
      </rPr>
      <t>包包</t>
    </r>
  </si>
  <si>
    <t>组合13</t>
  </si>
  <si>
    <t>13#</t>
  </si>
  <si>
    <t>驼色高筒靴</t>
  </si>
  <si>
    <r>
      <rPr>
        <b/>
        <sz val="12"/>
        <color rgb="FF00B050"/>
        <rFont val="Times New Roman"/>
        <charset val="0"/>
      </rPr>
      <t>#1</t>
    </r>
    <r>
      <rPr>
        <b/>
        <sz val="12"/>
        <color indexed="21"/>
        <rFont val="宋体"/>
        <charset val="134"/>
      </rPr>
      <t>红色高跟鞋</t>
    </r>
  </si>
  <si>
    <t>组合14</t>
  </si>
  <si>
    <t>14#</t>
  </si>
  <si>
    <t>Prada运动鞋</t>
  </si>
  <si>
    <t>组合15</t>
  </si>
  <si>
    <t>15#</t>
  </si>
  <si>
    <t>绣花运动鞋</t>
  </si>
  <si>
    <t>SK Demo 含鞋子</t>
  </si>
  <si>
    <t>组合16</t>
  </si>
  <si>
    <t>16#</t>
  </si>
  <si>
    <t>乔丹球鞋</t>
  </si>
  <si>
    <t>#1包包</t>
  </si>
  <si>
    <t>组合17</t>
  </si>
  <si>
    <t>17#</t>
  </si>
  <si>
    <t>Gucci球鞋</t>
  </si>
  <si>
    <t>#1红色高跟鞋</t>
  </si>
  <si>
    <t>组合18</t>
  </si>
  <si>
    <t>18#</t>
  </si>
  <si>
    <t>巴黎世家球鞋</t>
  </si>
  <si>
    <t>#3粉色鸭舌帽</t>
  </si>
  <si>
    <t>组合19</t>
  </si>
  <si>
    <t>19#</t>
  </si>
  <si>
    <t>厚底帆布鞋</t>
  </si>
  <si>
    <t>组合20</t>
  </si>
  <si>
    <t>20#</t>
  </si>
  <si>
    <t>Rare银色高跟鞋</t>
  </si>
  <si>
    <t>组合21</t>
  </si>
  <si>
    <t>21#</t>
  </si>
  <si>
    <t>组合22</t>
  </si>
  <si>
    <t>22#</t>
  </si>
  <si>
    <t>合计：</t>
  </si>
  <si>
    <t>SMYTHS TOYS FRANCE</t>
  </si>
  <si>
    <t>4500112124-10</t>
  </si>
  <si>
    <t>77485GQ2-S001</t>
  </si>
  <si>
    <t>10/26 取消订单</t>
  </si>
  <si>
    <t>已消耗成品</t>
  </si>
  <si>
    <t>日期码格式：ZURU INC(BVI) 标准格式 日期：按实际生产日期
Packaging Info: 1. 77485GQ2: MA 5L 收缩膜+1张荷兰语警语&lt;(&gt;&amp;&lt;)&gt;德语call out贴纸(不能覆盖英法德意翻译)+MA 5L收藏指南+MA 3L PDQ
Remark: 1、此单出法国，所有包装都需要含有法语，需要满足Zuru Standard欧洲标准测试要求；
2、请准时出货，推期会有罚款；
3、所有出口法国的产品, 法规规定禁止在包装和公众用的印刷品中使用含有矿物油的物质，包装印刷油墨中含有的MOAH/MOSH的质量浓度不能超过1%, 否则出货到
法国被抽检出现问题, 供应商需要对此负责。</t>
  </si>
  <si>
    <t>Stefanie Wang</t>
  </si>
  <si>
    <t>14263</t>
  </si>
  <si>
    <t>4500118740-60</t>
  </si>
  <si>
    <t>3代迷你小手袋（无闪粉）</t>
  </si>
  <si>
    <t>12/11 取消订单</t>
  </si>
  <si>
    <t>日期码格式：ZURU INC(BVI) 标准格式 日期：按实际生产日期
Packaging Info: MA 包装+1张进口商贴纸+1张EAN条码贴纸
Remark: 1.包装不可用PVC材质,要用PET替代
2.产品和包装要求无硼无香，无闪粉无微塑料</t>
  </si>
  <si>
    <t>Trixy</t>
  </si>
  <si>
    <t>NEW KIDS SERVICE</t>
  </si>
  <si>
    <t>越南</t>
  </si>
  <si>
    <t>4500115438-60</t>
  </si>
  <si>
    <t>77485GQ3-S001</t>
  </si>
  <si>
    <t>12/20 取消订单</t>
  </si>
  <si>
    <t xml:space="preserve">日期码格式：ZURU INC(BVI) 标准格式 日期：按实际生产日期
Packaging Info: 
其他item-MA UPC包装（优先1L）
Remark: </t>
  </si>
  <si>
    <t>0086-4184021-0584</t>
  </si>
  <si>
    <t>4500120234-10</t>
  </si>
  <si>
    <t>77485GQ2-S002</t>
  </si>
  <si>
    <t>12/21 取消订单</t>
  </si>
  <si>
    <t>日期码格式：ZURU INC(BVI) 标准格式 日期：按实际生产日期
Packaging Info: 产品MA 1L包装, MA PDQ；
Remark: 1. 77485GQ-S002-MINI BRANDS-FASHION MINI BRANDS-SERIES 3,21pcs/Gravity PDQ,21pcs/CTN,No Inner,STD Color Assortment
2. 产品MA 1L包装, UPC显示193052057105. MA PDQ
3. 外箱正唛左上角位置粘贴条码箱贴纸，每箱只贴一张，由ZURU订购。来料贴纸上显示的客户DPCI# 086-02-0235， UPC显示10193052057102；
4. 产品和包装上印刷 tracking code信息，格式为ZURU常规格式;
5. 出货方式：货代自提。</t>
  </si>
  <si>
    <t>0086-0449111-0581</t>
  </si>
  <si>
    <t>4500120658-10</t>
  </si>
  <si>
    <t>日期码格式：ZURU INC(BVI) 标准格式 日期：按实际生产日期
Packaging Info: 产品MA 1L包装，MA 1L PDQ
Remark: 1. 77485GQ-S002-MINI BRANDS-FASHION MINI BRANDS-SERIES 3,21pcs/Gravity PDQ,21pcs/CTN,No Inner,STD Color Assortment
2. 产品MA 1L包装, UPC显示193052057105. MA 1L PDQ
3. 外箱正唛左上角位置粘贴条码箱贴纸，每箱只贴一张，由ZURU订购。来料贴纸上显示的客户DPCI# 086-02-0235， UPC显示10193052057102；
4. 产品和包装上印刷 tracking code信息，格式为ZURU常规格式;
5. 出货方式：货代自提。</t>
  </si>
  <si>
    <t>WAL-MART CANADA CORP.</t>
  </si>
  <si>
    <t>4500115266-20</t>
  </si>
  <si>
    <t>1/30 取消订单</t>
  </si>
  <si>
    <t>1/23 自检</t>
  </si>
  <si>
    <t>日期码格式：ZURU INC(BVI) 标准格式 日期：按实际生产日期
Packaging Info:
#77485: MA3L,PDQ(21装)+MA3L收缩膜+MA5L收藏指南+MA配件袋
Remark: 1. 产品配比：
4. 此单有箱唛；
5. 此单有第三方验货，烦请多备包装物料。</t>
  </si>
  <si>
    <t>Monica Zhou</t>
  </si>
  <si>
    <t>4500115268-20</t>
  </si>
  <si>
    <t>日期码格式：ZURU INC(BVI) 标准格式 日期：按实际生产日期
Packaging Info: 
#77485: MA3L,PDQ(21装)+MA3L收缩膜+MA5L收藏指南+MA配件袋
Remark: 1. 产品配比：
4. 此单有箱唛；
5. 此单有第三方验货，烦请多备包装物料。</t>
  </si>
  <si>
    <t>4500115269-20</t>
  </si>
  <si>
    <t>额外外箱</t>
  </si>
  <si>
    <t>日期码格式：ZURU INC(BVI) 标准格式 日期：按实际生产日期
Packaging Info: 
#77485: MA3L,PDQ(21装)+MA3L收缩膜+MA5L收藏指南+MA配件袋
Remark: 1. 产品配比：
4. 此单有箱唛；
5. 此单有第三方验货，烦请多备包装物料</t>
  </si>
  <si>
    <t>cus
po#28254727</t>
  </si>
  <si>
    <t>4500124079-10</t>
  </si>
  <si>
    <t>2/18 确认取消</t>
  </si>
  <si>
    <t>日期码格式：ZURU INC(BVI) 标准格式 日期：按实际生产日期
Packaging Info: 1.MA PKG,优先1L
Remark: 1.此单出两个港口，10出AKL，20出LYT
2.non-glitter version</t>
  </si>
  <si>
    <t>Coral Wu</t>
  </si>
  <si>
    <t>cus
po#28254728</t>
  </si>
  <si>
    <t>4500124079-20</t>
  </si>
  <si>
    <t>迷你衣柜装MA明细</t>
  </si>
  <si>
    <t>放MA日期</t>
  </si>
  <si>
    <t>PO号码</t>
  </si>
  <si>
    <t>MA订单号码</t>
  </si>
  <si>
    <t>货号</t>
  </si>
  <si>
    <t>数量</t>
  </si>
  <si>
    <t>名称</t>
  </si>
  <si>
    <t>版本号</t>
  </si>
  <si>
    <t>彩盒 1L</t>
  </si>
  <si>
    <t>说明书 5L</t>
  </si>
  <si>
    <t>彩盒 3L</t>
  </si>
  <si>
    <t>中文说明书</t>
  </si>
  <si>
    <t>77200 77361 Dino Strike S4, S5 &amp; 77349 Fashion S2 包材放订</t>
  </si>
  <si>
    <t>1000012977</t>
  </si>
  <si>
    <t>Color box</t>
  </si>
  <si>
    <t>A</t>
  </si>
  <si>
    <t>1000012978</t>
  </si>
  <si>
    <t>Instruction Book</t>
  </si>
  <si>
    <t>订单备料</t>
  </si>
  <si>
    <t>1000013765</t>
  </si>
  <si>
    <t>1000013766</t>
  </si>
  <si>
    <t>1000013938</t>
  </si>
  <si>
    <t>1000013939</t>
  </si>
  <si>
    <t>1000014135</t>
  </si>
  <si>
    <t>1000014136</t>
  </si>
  <si>
    <t>1000014137</t>
  </si>
  <si>
    <t>1000015246</t>
  </si>
  <si>
    <t>1000015247</t>
  </si>
  <si>
    <t>1000015248</t>
  </si>
  <si>
    <t>1000015524</t>
  </si>
  <si>
    <t>1000015842</t>
  </si>
  <si>
    <t>1000015843</t>
  </si>
  <si>
    <t>1000021482</t>
  </si>
  <si>
    <t>1000021895</t>
  </si>
  <si>
    <t>1000023322</t>
  </si>
  <si>
    <t>1000023323</t>
  </si>
  <si>
    <t>最后一次放订，按照实际订单数量采购</t>
  </si>
  <si>
    <t>包材合计</t>
  </si>
  <si>
    <t>接单汇总数</t>
  </si>
  <si>
    <t>3代迷你小手袋包装MA明细</t>
  </si>
  <si>
    <t>负责</t>
  </si>
  <si>
    <t>版本</t>
  </si>
  <si>
    <t>语言</t>
  </si>
  <si>
    <t>MA 1L 收缩膜A/B</t>
  </si>
  <si>
    <t>77485 1L 无条码收缩膜 客版MA</t>
  </si>
  <si>
    <t>77485 3L 无条码收缩膜 客版MA</t>
  </si>
  <si>
    <t>MA 5L 收藏指南 A/B/C/D</t>
  </si>
  <si>
    <t xml:space="preserve">WM客版5L 收藏指南 </t>
  </si>
  <si>
    <t>1L
GQ2-S001</t>
  </si>
  <si>
    <t>3L
GQ2-S001</t>
  </si>
  <si>
    <t>1L GQ3-S001</t>
  </si>
  <si>
    <t>1L B GQ3-S001</t>
  </si>
  <si>
    <t>3L GQ3-S001</t>
  </si>
  <si>
    <t>GQ4-S001</t>
  </si>
  <si>
    <t>GQ6-S001</t>
  </si>
  <si>
    <t>GQ6-S001 3L</t>
  </si>
  <si>
    <t>GQ7-S001</t>
  </si>
  <si>
    <t>GQ7-S001 3L</t>
  </si>
  <si>
    <t>77485SK-S002 3L</t>
  </si>
  <si>
    <t>3L 
SK1-S001</t>
  </si>
  <si>
    <t>客版不含鞋子</t>
  </si>
  <si>
    <t>77486 彩纸</t>
  </si>
  <si>
    <t>77601 彩纸</t>
  </si>
  <si>
    <t>77485GQ1
客版</t>
  </si>
  <si>
    <t>052_Mini Toys&amp;Dino S3&amp;Dino &amp;Disny S2_20200709-20230809</t>
  </si>
  <si>
    <t>Peggy Wu</t>
  </si>
  <si>
    <t>77485SK</t>
  </si>
  <si>
    <t>Sidekick</t>
  </si>
  <si>
    <t>用于4500110712/4500110183/4500108831/4500110649/4500110653</t>
  </si>
  <si>
    <t>Shrink Wrap</t>
  </si>
  <si>
    <t>用于4500110181/4500110689</t>
  </si>
  <si>
    <t>Collector Guide</t>
  </si>
  <si>
    <t>1000016199</t>
  </si>
  <si>
    <t>Jasmine</t>
  </si>
  <si>
    <t>shrink wrap</t>
  </si>
  <si>
    <t>1L</t>
  </si>
  <si>
    <t>1000016200</t>
  </si>
  <si>
    <t>collector guide</t>
  </si>
  <si>
    <t>5L</t>
  </si>
  <si>
    <t>1000016201</t>
  </si>
  <si>
    <t>77485GQ2</t>
  </si>
  <si>
    <t>PDQ</t>
  </si>
  <si>
    <t>1000016202</t>
  </si>
  <si>
    <t>77485GQ3</t>
  </si>
  <si>
    <t>77198 77349 77485 Fashion MNB S1 S2 S3 &amp;Wardrobe 77425--20230911</t>
  </si>
  <si>
    <t>1000016310</t>
  </si>
  <si>
    <t>1000016311</t>
  </si>
  <si>
    <t>3L</t>
  </si>
  <si>
    <t>1000016312</t>
  </si>
  <si>
    <t>1000016313</t>
  </si>
  <si>
    <t>1000016314</t>
  </si>
  <si>
    <r>
      <rPr>
        <sz val="9"/>
        <rFont val="宋体"/>
        <charset val="134"/>
        <scheme val="minor"/>
      </rPr>
      <t>Shrink Wrap</t>
    </r>
    <r>
      <rPr>
        <sz val="10"/>
        <rFont val="宋体"/>
        <charset val="134"/>
      </rPr>
      <t>（无</t>
    </r>
    <r>
      <rPr>
        <sz val="10"/>
        <rFont val="Arial"/>
        <charset val="0"/>
      </rPr>
      <t>UPC</t>
    </r>
  </si>
  <si>
    <t>PVC  Tube</t>
  </si>
  <si>
    <t>Art Paper</t>
  </si>
  <si>
    <t>Lid Sticker</t>
  </si>
  <si>
    <t>1000016757</t>
  </si>
  <si>
    <t>1000016758</t>
  </si>
  <si>
    <t>1000016759</t>
  </si>
  <si>
    <t>5L B</t>
  </si>
  <si>
    <t>1000016760</t>
  </si>
  <si>
    <t>1000016761</t>
  </si>
  <si>
    <t>1000016762</t>
  </si>
  <si>
    <t>1000016763</t>
  </si>
  <si>
    <t>1000017290</t>
  </si>
  <si>
    <t>1000017291</t>
  </si>
  <si>
    <t>77485SK1</t>
  </si>
  <si>
    <t>1000017281</t>
  </si>
  <si>
    <t>1000017282</t>
  </si>
  <si>
    <t>1000017283</t>
  </si>
  <si>
    <t>1000017284</t>
  </si>
  <si>
    <t>1000017476</t>
  </si>
  <si>
    <t>1000017479</t>
  </si>
  <si>
    <t>1000017477</t>
  </si>
  <si>
    <t>1000017478</t>
  </si>
  <si>
    <t>PVC  Tube(2PK)</t>
  </si>
  <si>
    <t>Yvonne Feng用于Amazon US FOB 新单PO-4500116864  及后面的订单</t>
  </si>
  <si>
    <t>Art Paper（2PK)</t>
  </si>
  <si>
    <t>Lid sticker</t>
  </si>
  <si>
    <t>77485（for 77486）</t>
  </si>
  <si>
    <t>Shrink Wrap（无UPC</t>
  </si>
  <si>
    <t>1000017721</t>
  </si>
  <si>
    <t>1000017722</t>
  </si>
  <si>
    <t>1000017723</t>
  </si>
  <si>
    <t>1000017725</t>
  </si>
  <si>
    <t>Yvonne Feng用于Amazon US FOB 新单PO-4500122523  及后面的订单</t>
  </si>
  <si>
    <t>Yvonne Feng用于Amazon US FOB 新单PO-4500122523 及后面的订单</t>
  </si>
  <si>
    <t>1000018525</t>
  </si>
  <si>
    <t>jasmine</t>
  </si>
  <si>
    <t>B</t>
  </si>
  <si>
    <t>优先与GQ6/GQ7配套使用</t>
  </si>
  <si>
    <t>1000018526</t>
  </si>
  <si>
    <t>C</t>
  </si>
  <si>
    <t>1000018527</t>
  </si>
  <si>
    <t>77485GQ6</t>
  </si>
  <si>
    <t>1000018528</t>
  </si>
  <si>
    <t>1000018529</t>
  </si>
  <si>
    <t>77485GQ7</t>
  </si>
  <si>
    <t>Jenny</t>
  </si>
  <si>
    <t>Crystal用于4500123937-504pcs，4500124528-504pcs，4500125836-504pcs，4500127403-2220pcs，剩余数量后面Crystal订单消耗</t>
  </si>
  <si>
    <t>此单按单订购不另建MA PO</t>
  </si>
  <si>
    <t>77485GQ1</t>
  </si>
  <si>
    <t>客版</t>
  </si>
  <si>
    <t>用于Andro订单4500127074</t>
  </si>
  <si>
    <t>1000019110</t>
  </si>
  <si>
    <t>1000019111</t>
  </si>
  <si>
    <t>1000019112</t>
  </si>
  <si>
    <t>工厂自行订购</t>
  </si>
  <si>
    <t>1000019270</t>
  </si>
  <si>
    <t>1L/3L共用</t>
  </si>
  <si>
    <t>用于Taylor#4500127840+Crystal 4500128237 /4500128247 / 4500128257+Yvonne 4500127487 / 4500127488</t>
  </si>
  <si>
    <t>Lid sticker(2PK)</t>
  </si>
  <si>
    <t>Yvonne Feng用于4500127487 / 4500127488 及后面的订单</t>
  </si>
  <si>
    <t>Daisy.Li</t>
  </si>
  <si>
    <t>4500128976 4500128972 4500128973</t>
  </si>
  <si>
    <t>1000019516</t>
  </si>
  <si>
    <t>1000019517</t>
  </si>
  <si>
    <t>1000019518</t>
  </si>
  <si>
    <t>1000019519</t>
  </si>
  <si>
    <t>1000019804</t>
  </si>
  <si>
    <t>1000019805</t>
  </si>
  <si>
    <t>1000020035</t>
  </si>
  <si>
    <t>1000020036</t>
  </si>
  <si>
    <t>4500129515  4500131027</t>
  </si>
  <si>
    <t xml:space="preserve">Kelly 4500126751, 4500126758 </t>
  </si>
  <si>
    <t>1000020194</t>
  </si>
  <si>
    <t>原：1000019113</t>
  </si>
  <si>
    <t>1000020177</t>
  </si>
  <si>
    <t>1000020178</t>
  </si>
  <si>
    <t>1000020179</t>
  </si>
  <si>
    <t>1000020180</t>
  </si>
  <si>
    <t>1000020193</t>
  </si>
  <si>
    <t>1000020734</t>
  </si>
  <si>
    <t>1000020735</t>
  </si>
  <si>
    <t>1000020736</t>
  </si>
  <si>
    <t>1000020737</t>
  </si>
  <si>
    <t>1000020738</t>
  </si>
  <si>
    <t>TBA</t>
  </si>
  <si>
    <t>1000021223</t>
  </si>
  <si>
    <t>1000021224</t>
  </si>
  <si>
    <t>Violet Chen</t>
  </si>
  <si>
    <t>Shrink Wrap（无UPC）</t>
  </si>
  <si>
    <t>Emily用于4500134838, 4500134839, 4500134840, 4500134841, 4500134842, 4500134843, 4500136499, 4500136503, 4500136506, 4500136522, 4500136526, 4500136536, 4500136539, 4500136556</t>
  </si>
  <si>
    <t>1000021483</t>
  </si>
  <si>
    <t>1000021484</t>
  </si>
  <si>
    <t>1000021485</t>
  </si>
  <si>
    <t>1000021486</t>
  </si>
  <si>
    <t>按实单订</t>
  </si>
  <si>
    <t>Willow Xu</t>
  </si>
  <si>
    <t>Emily用于PO#4500139071, 4500139075</t>
  </si>
  <si>
    <t xml:space="preserve">Taylor用于ROSS订单4500139689 
</t>
  </si>
  <si>
    <t>1000021896</t>
  </si>
  <si>
    <t>1000022126</t>
  </si>
  <si>
    <t>1000022127</t>
  </si>
  <si>
    <t>1000022128</t>
  </si>
  <si>
    <t>Maggie用于订单4500142773 4500142776 4500142775 4500142765 4500142774 4500142771 4500142769 4500143201</t>
  </si>
  <si>
    <t>Emily用于订单4500144054, 4500144055, 4500144056, 4500144057</t>
  </si>
  <si>
    <t>Maggie用于订单4500145358、4500146437、4500149317(116cps )</t>
  </si>
  <si>
    <t>1000023324</t>
  </si>
  <si>
    <t>1000023325</t>
  </si>
  <si>
    <t>1000023326</t>
  </si>
  <si>
    <t>1000023560</t>
  </si>
  <si>
    <t>Kathy4500146668</t>
  </si>
  <si>
    <t>1000023639</t>
  </si>
  <si>
    <t>Maggie用于订单 4500147326 4500149317（17696pcs)</t>
  </si>
  <si>
    <t>1000023981</t>
  </si>
  <si>
    <t>Maggie用于订单 4500149317</t>
  </si>
  <si>
    <t>1000023982</t>
  </si>
  <si>
    <t>Maggie用于订单 4500149317，剩余12352pcs下次消耗</t>
  </si>
  <si>
    <t>1000023993</t>
  </si>
  <si>
    <t>KathyPO4500148252，剩余数量待后续订单消耗</t>
  </si>
  <si>
    <t>1000024090</t>
  </si>
  <si>
    <t>1000024326</t>
  </si>
  <si>
    <t>Maggie用于订单 4500150721，4500152202消耗</t>
  </si>
  <si>
    <t>1000024335</t>
  </si>
  <si>
    <t>Yoyo用于Bealls 4500149782 1452pcs + Ross 订单 4200pcs + TJX 订单5004pcs + Amazon 订单1344pcs</t>
  </si>
  <si>
    <t>1000024336</t>
  </si>
  <si>
    <t>1000024337</t>
  </si>
  <si>
    <t>1000024482</t>
  </si>
  <si>
    <t>1000024483</t>
  </si>
  <si>
    <t>1000024484</t>
  </si>
  <si>
    <t>1000024538</t>
  </si>
  <si>
    <t>1000024650</t>
  </si>
  <si>
    <t>1000024651</t>
  </si>
  <si>
    <t>1000024690</t>
  </si>
  <si>
    <t>Maggie用于订单4500152202，剩余2400pcs下次消耗</t>
  </si>
  <si>
    <t>1000024691</t>
  </si>
  <si>
    <t>Maggie用于订单4500152202</t>
  </si>
  <si>
    <t>按实单订购</t>
  </si>
  <si>
    <t>77485GQ4</t>
  </si>
  <si>
    <t>1000025058</t>
  </si>
  <si>
    <t>Maggie用于订单4500153681和4500154532(7424pcs)</t>
  </si>
  <si>
    <t>1000025059</t>
  </si>
  <si>
    <t>Maggie用于订单4500153681</t>
  </si>
  <si>
    <t>1000025280</t>
  </si>
  <si>
    <t>Maggie用于订单4500154532 4500154533 4500156438(8992pcs )</t>
  </si>
  <si>
    <t>1000025281</t>
  </si>
  <si>
    <t>Maggie用于订单4500154532 4500154533</t>
  </si>
  <si>
    <t>1000025496</t>
  </si>
  <si>
    <t>1000025497</t>
  </si>
  <si>
    <t>1000025498</t>
  </si>
  <si>
    <t>1000025634</t>
  </si>
  <si>
    <t>Collector guide</t>
  </si>
  <si>
    <t>Maggie用于订单4500156438 4500156777、4500157306、4500161593</t>
  </si>
  <si>
    <t>1000025635</t>
  </si>
  <si>
    <t>Maggie用于订单4500156438</t>
  </si>
  <si>
    <t>1000025691</t>
  </si>
  <si>
    <t>Maggie用于订单4500156777、4500157306、4500161593</t>
  </si>
  <si>
    <t>1000027679</t>
  </si>
  <si>
    <t>1000027680</t>
  </si>
  <si>
    <t>1000027681</t>
  </si>
  <si>
    <t>1000028279</t>
  </si>
  <si>
    <t>Fiona Huang</t>
  </si>
  <si>
    <t>Maggie用于订单4500167618，剩252pcs留后续订单消耗</t>
  </si>
  <si>
    <t>1000028079</t>
  </si>
  <si>
    <t>1000028080</t>
  </si>
  <si>
    <t>Emily用于TJX US PO#4500171907~4500172370 共12张订单</t>
  </si>
  <si>
    <t>PVC  Tube(2PK)</t>
  </si>
  <si>
    <t>Shrink Wrap(without UPC)</t>
  </si>
  <si>
    <t>Emily用于TJX US PO#4500171907~4500171924 共12张订单</t>
  </si>
  <si>
    <t>Art Paper（3PK)</t>
  </si>
  <si>
    <t>Emily用于TJX US PO#4500171907~4500171924 共12张订单-10688pcs/用于Bealls PO#4500171933 + 未放订单-904pcs</t>
  </si>
  <si>
    <t>PVC  Tube(3PK)</t>
  </si>
  <si>
    <t>Lid sticker(3PK)</t>
  </si>
  <si>
    <t>1000029848</t>
  </si>
  <si>
    <t>Ariel Peng</t>
  </si>
  <si>
    <t>PVC Tube</t>
  </si>
  <si>
    <t>Ever用于PO#4500169860-8028PCS，剩下的276pcs 用于后续的ARCHIBRAND Mexico订单</t>
  </si>
  <si>
    <t>1000029849</t>
  </si>
  <si>
    <t>1000029850</t>
  </si>
  <si>
    <t>1000030138</t>
  </si>
  <si>
    <t>Maggie用于订单4500174229,</t>
  </si>
  <si>
    <t>1000030139</t>
  </si>
  <si>
    <t>Maggie用于订单4500174229,4500175910  (剩1760pcs待后续订单消耗)</t>
  </si>
  <si>
    <t>1000030838</t>
  </si>
  <si>
    <t>Maggie用于订单4500175910,   （ 4500176989 消耗212pcs）</t>
  </si>
  <si>
    <t>Maggie用于订单4500176989 （剩328pcs待消耗）</t>
  </si>
  <si>
    <t>Babbit</t>
  </si>
  <si>
    <t>Crystal用于PO#4500177504-732PCS</t>
  </si>
  <si>
    <t>1000033332</t>
  </si>
  <si>
    <t>1000033513</t>
  </si>
  <si>
    <t>Kristin</t>
  </si>
  <si>
    <t>/</t>
  </si>
  <si>
    <t>1000033514</t>
  </si>
  <si>
    <t>1000033515</t>
  </si>
  <si>
    <t>Violet</t>
  </si>
  <si>
    <t xml:space="preserve"> 77485GQ4</t>
  </si>
  <si>
    <t>Cara用于订单4500182963</t>
  </si>
  <si>
    <t>1000033560</t>
  </si>
  <si>
    <t>17012367</t>
  </si>
  <si>
    <t>1000034654</t>
  </si>
  <si>
    <t>D</t>
  </si>
  <si>
    <t>1000034659</t>
  </si>
  <si>
    <t>Mina </t>
  </si>
  <si>
    <t>1000034660</t>
  </si>
  <si>
    <t>1000034661</t>
  </si>
  <si>
    <t>补齐实单</t>
  </si>
  <si>
    <t>4代迷你小手袋包装MA明细</t>
  </si>
  <si>
    <t>MA 1L 收缩膜A</t>
  </si>
  <si>
    <t>77806 3L 无条码客版收缩膜</t>
  </si>
  <si>
    <t>MA 5L 收藏指南 A</t>
  </si>
  <si>
    <t>1L
GQ1-S001</t>
  </si>
  <si>
    <t>3L
GQ1-S001</t>
  </si>
  <si>
    <t>1L GQ2-S001</t>
  </si>
  <si>
    <t>3L GQ2-S001</t>
  </si>
  <si>
    <t>1L 
SK1-S001/S002</t>
  </si>
  <si>
    <t>1L 
SK1-S002只是底座</t>
  </si>
  <si>
    <t>3L 
SK1-S002</t>
  </si>
  <si>
    <t>3L 
SK1-S002只是底座</t>
  </si>
  <si>
    <t>1000030104</t>
  </si>
  <si>
    <t>Jasmine Hunag</t>
  </si>
  <si>
    <t>1000030106</t>
  </si>
  <si>
    <t>1000030183</t>
  </si>
  <si>
    <t>17011176</t>
  </si>
  <si>
    <t>77770GQ1</t>
  </si>
  <si>
    <t>1000030669</t>
  </si>
  <si>
    <t>77770GQ2</t>
  </si>
  <si>
    <t>1000031226</t>
  </si>
  <si>
    <t xml:space="preserve"> 
Fiona</t>
  </si>
  <si>
    <t>77770GQ4</t>
  </si>
  <si>
    <t>Maggie用于订单4500177643 ; 4500177644；4500178134；4500178135剩 80 pcs待后续订单消耗</t>
  </si>
  <si>
    <t>1000031113</t>
  </si>
  <si>
    <t>Maggie用于订单4500177094；4500177093；4500177091；4500177088；4500177086</t>
  </si>
  <si>
    <t>17011276</t>
  </si>
  <si>
    <t>1000032014</t>
  </si>
  <si>
    <t>Mina Pan</t>
  </si>
  <si>
    <t>Peggy用于PO4500179751-1500pcs，剩余数量待后续客户订单使用</t>
  </si>
  <si>
    <t>1000032015</t>
  </si>
  <si>
    <t>Sticker</t>
  </si>
  <si>
    <t>1000032016</t>
  </si>
  <si>
    <t>1000032264</t>
  </si>
  <si>
    <t>1000032265</t>
  </si>
  <si>
    <t>17011783</t>
  </si>
  <si>
    <t>77770SK1</t>
  </si>
  <si>
    <t>SIDEKICK</t>
  </si>
  <si>
    <t>1000032946</t>
  </si>
  <si>
    <t>展示架与底座分开单独订</t>
  </si>
  <si>
    <t>1000032947</t>
  </si>
  <si>
    <t>Base</t>
  </si>
  <si>
    <r>
      <rPr>
        <sz val="12"/>
        <rFont val="宋体"/>
        <charset val="134"/>
      </rPr>
      <t>单独的</t>
    </r>
    <r>
      <rPr>
        <sz val="12"/>
        <rFont val="Calibri"/>
        <charset val="134"/>
      </rPr>
      <t>BASE</t>
    </r>
  </si>
  <si>
    <t>1000032948</t>
  </si>
  <si>
    <t>1000032949</t>
  </si>
  <si>
    <t>1000032950</t>
  </si>
  <si>
    <t>17011590</t>
  </si>
  <si>
    <t>1000032951</t>
  </si>
  <si>
    <t>1000032880</t>
  </si>
  <si>
    <t>Crystal用于PO#4500181162</t>
  </si>
  <si>
    <t>1000032881</t>
  </si>
  <si>
    <t>1000032882</t>
  </si>
  <si>
    <t>1000032883</t>
  </si>
  <si>
    <t>1000033089</t>
  </si>
  <si>
    <t xml:space="preserve"> Fiona</t>
  </si>
  <si>
    <t>Maggie用于订单 4500180990，(剩400PCS待后续订单消耗）</t>
  </si>
  <si>
    <t>1000033146</t>
  </si>
  <si>
    <t>1000033147</t>
  </si>
  <si>
    <t>1000033148</t>
  </si>
  <si>
    <t>1000033149</t>
  </si>
  <si>
    <t>17011591</t>
  </si>
  <si>
    <t>1000033150</t>
  </si>
  <si>
    <t>1000033627</t>
  </si>
  <si>
    <t>Fiona</t>
  </si>
  <si>
    <t>Maggie用于订单 4500183832；4500183833；4500183834；4500183835；4500183836</t>
  </si>
  <si>
    <t>1000033651</t>
  </si>
  <si>
    <t>1000033652</t>
  </si>
  <si>
    <t>-</t>
  </si>
  <si>
    <t>1000033963</t>
  </si>
  <si>
    <t>1000033964</t>
  </si>
  <si>
    <t>1000033965</t>
  </si>
  <si>
    <t>1000033966</t>
  </si>
  <si>
    <t>1000033967</t>
  </si>
  <si>
    <t>1000034440</t>
  </si>
  <si>
    <t>1000034441</t>
  </si>
  <si>
    <t>1000034442</t>
  </si>
  <si>
    <t>1000034493</t>
  </si>
  <si>
    <t>无阶梯价，不建MA号</t>
  </si>
  <si>
    <t>1000034799</t>
  </si>
  <si>
    <t>1000034800</t>
  </si>
  <si>
    <t>1000035299</t>
  </si>
  <si>
    <t>Maggie用于订单
4500189982；4500189983；4500189985；4500190002；4500190004；4500190006</t>
  </si>
  <si>
    <t>1000035379</t>
  </si>
  <si>
    <t>Crystal用于PO#4500189248</t>
  </si>
  <si>
    <t>1000035380</t>
  </si>
  <si>
    <t>1000036403</t>
  </si>
  <si>
    <t>Maggie用于订单4500192878，（4500193218消耗200PCS</t>
  </si>
  <si>
    <t>1000036463</t>
  </si>
  <si>
    <t xml:space="preserve">Maggie用于订单4500193218
</t>
  </si>
  <si>
    <t>留意MA-RR-714开始为新配比包装</t>
  </si>
  <si>
    <t>MA PO NO,</t>
  </si>
  <si>
    <t>MA-RR-692</t>
  </si>
  <si>
    <t>MA-RR-707</t>
  </si>
  <si>
    <t>MA-RR-785</t>
  </si>
  <si>
    <t>MA-RR-834</t>
  </si>
  <si>
    <t>MA-RR-856</t>
  </si>
  <si>
    <t>MA-RR-909</t>
  </si>
  <si>
    <t>客要求完成日期</t>
  </si>
  <si>
    <t>按回复可接多</t>
  </si>
  <si>
    <t>Figurines Name</t>
  </si>
  <si>
    <t>Mold No.</t>
  </si>
  <si>
    <t>图片</t>
  </si>
  <si>
    <t>Remark</t>
  </si>
  <si>
    <t>MA QTY</t>
  </si>
  <si>
    <t>合计</t>
  </si>
  <si>
    <t>总计</t>
  </si>
  <si>
    <t>实际接单数</t>
  </si>
  <si>
    <r>
      <rPr>
        <b/>
        <sz val="13"/>
        <color rgb="FFFF0000"/>
        <rFont val="Tahoma"/>
        <charset val="0"/>
      </rPr>
      <t>MA</t>
    </r>
    <r>
      <rPr>
        <b/>
        <sz val="13"/>
        <color rgb="FFFF0000"/>
        <rFont val="宋体"/>
        <charset val="0"/>
      </rPr>
      <t>剩余数</t>
    </r>
  </si>
  <si>
    <t>Ball</t>
  </si>
  <si>
    <t>White Ball</t>
  </si>
  <si>
    <t>红色球</t>
  </si>
  <si>
    <t>Injection</t>
  </si>
  <si>
    <t>77349#
5 Surprise-Mini Fashion</t>
  </si>
  <si>
    <t>组合编号</t>
  </si>
  <si>
    <t>Bag</t>
  </si>
  <si>
    <t>Accy 1</t>
  </si>
  <si>
    <t>Accy 2</t>
  </si>
  <si>
    <t>Accy 3</t>
  </si>
  <si>
    <t>#1</t>
  </si>
  <si>
    <t>#54蓝色圆形帽</t>
  </si>
  <si>
    <t>#1金盖口红</t>
  </si>
  <si>
    <t>#11黑色面霜</t>
  </si>
  <si>
    <t>#20粉色圆形香水</t>
  </si>
  <si>
    <t>#41白色眼镜</t>
  </si>
  <si>
    <t>#2</t>
  </si>
  <si>
    <t>#46粉色日记本</t>
  </si>
  <si>
    <t>#16金色长方形香水</t>
  </si>
  <si>
    <t>#22红色手表盒</t>
  </si>
  <si>
    <t>#33白色长毛狗</t>
  </si>
  <si>
    <t>#6红色睫毛膏</t>
  </si>
  <si>
    <t>#3</t>
  </si>
  <si>
    <t>#62红色耳罩</t>
  </si>
  <si>
    <t>#48蓝色指甲贴</t>
  </si>
  <si>
    <t>#39橙色腰包盒</t>
  </si>
  <si>
    <t>#4</t>
  </si>
  <si>
    <t>#68方形图案丝巾</t>
  </si>
  <si>
    <t>#3方形眼影盘</t>
  </si>
  <si>
    <t>#15杂志</t>
  </si>
  <si>
    <t>#24粉色iPhone</t>
  </si>
  <si>
    <t>#19红色方形香水</t>
  </si>
  <si>
    <t>#5</t>
  </si>
  <si>
    <t>#56粉色鸭舌帽</t>
  </si>
  <si>
    <t>#63绿色耳罩</t>
  </si>
  <si>
    <t>#30白色小狗</t>
  </si>
  <si>
    <t>#5粉色睫毛膏</t>
  </si>
  <si>
    <t>#6</t>
  </si>
  <si>
    <t>#50黑色小熊钥匙扣</t>
  </si>
  <si>
    <t>#55黑色圆形帽</t>
  </si>
  <si>
    <t>#8黑色梳子</t>
  </si>
  <si>
    <t>#7</t>
  </si>
  <si>
    <t>#60橙色tictak</t>
  </si>
  <si>
    <t>#17黑色长方形香水</t>
  </si>
  <si>
    <t>#8</t>
  </si>
  <si>
    <t>#44金色手镯</t>
  </si>
  <si>
    <t>#43红色珍珠奶茶</t>
  </si>
  <si>
    <t>#28粉色钱包</t>
  </si>
  <si>
    <t>#9</t>
  </si>
  <si>
    <t>#42粉色珍珠奶茶</t>
  </si>
  <si>
    <t>#7金色梳子</t>
  </si>
  <si>
    <t>#18黑色方形香水</t>
  </si>
  <si>
    <t>#10</t>
  </si>
  <si>
    <t>#51红色小熊钥匙扣</t>
  </si>
  <si>
    <t>#57白色鸭舌帽</t>
  </si>
  <si>
    <t>#14红色精华</t>
  </si>
  <si>
    <t>#11</t>
  </si>
  <si>
    <t>#69方形线条丝巾</t>
  </si>
  <si>
    <t>#9金色眼睫毛</t>
  </si>
  <si>
    <t>组合23</t>
  </si>
  <si>
    <t>#12</t>
  </si>
  <si>
    <t>#65黄色花束</t>
  </si>
  <si>
    <t>#13黑色精华</t>
  </si>
  <si>
    <t>#35橙色戒指盒</t>
  </si>
  <si>
    <t>组合24</t>
  </si>
  <si>
    <t>#2红盖口红</t>
  </si>
  <si>
    <t>组合25</t>
  </si>
  <si>
    <t>#13</t>
  </si>
  <si>
    <t>#64粉色花束</t>
  </si>
  <si>
    <t>#4圆形眼影盘</t>
  </si>
  <si>
    <t>#12红色面霜</t>
  </si>
  <si>
    <t>组合26</t>
  </si>
  <si>
    <t>#45银色手镯</t>
  </si>
  <si>
    <t>组合27</t>
  </si>
  <si>
    <t>#14</t>
  </si>
  <si>
    <t>#27红色相机</t>
  </si>
  <si>
    <t>#10黑色眼睫毛</t>
  </si>
  <si>
    <t>#49粉色指甲贴</t>
  </si>
  <si>
    <t>组合28</t>
  </si>
  <si>
    <t>组合29</t>
  </si>
  <si>
    <t>#15</t>
  </si>
  <si>
    <t>#26黑色相机</t>
  </si>
  <si>
    <t>#25黑色iPhone</t>
  </si>
  <si>
    <t>#21红色圆形香水</t>
  </si>
  <si>
    <t>组合30</t>
  </si>
  <si>
    <t>#61绿色tictak</t>
  </si>
  <si>
    <t>组合31</t>
  </si>
  <si>
    <t>#16</t>
  </si>
  <si>
    <t>#66长方形字母丝巾</t>
  </si>
  <si>
    <t>#32棕色长毛狗</t>
  </si>
  <si>
    <t>组合32</t>
  </si>
  <si>
    <t>#58蓝色项链钱包</t>
  </si>
  <si>
    <t>组合33</t>
  </si>
  <si>
    <t>#17</t>
  </si>
  <si>
    <t>#59黑色项链钱包</t>
  </si>
  <si>
    <t>#67长方形图案丝巾</t>
  </si>
  <si>
    <t>组合34</t>
  </si>
  <si>
    <t>组合35</t>
  </si>
  <si>
    <t>#18</t>
  </si>
  <si>
    <t>#34蓝色戒指盒</t>
  </si>
  <si>
    <t>#29红色钱包</t>
  </si>
  <si>
    <t>组合36</t>
  </si>
  <si>
    <t>组合37</t>
  </si>
  <si>
    <t>#19</t>
  </si>
  <si>
    <t>#36蓝色项圈盒</t>
  </si>
  <si>
    <t>组合38</t>
  </si>
  <si>
    <t>#53金色爱心钥匙扣</t>
  </si>
  <si>
    <t>组合39</t>
  </si>
  <si>
    <t>#20</t>
  </si>
  <si>
    <t>#31粉色小狗</t>
  </si>
  <si>
    <t>组合40</t>
  </si>
  <si>
    <t>#40金色眼镜</t>
  </si>
  <si>
    <t>组合41</t>
  </si>
  <si>
    <t>#21</t>
  </si>
  <si>
    <t>#47蓝色日记本</t>
  </si>
  <si>
    <t>组合42</t>
  </si>
  <si>
    <t>Rare</t>
  </si>
  <si>
    <t>#22 Rare A</t>
  </si>
  <si>
    <t>#52银色爱心钥匙扣</t>
  </si>
  <si>
    <t>#23 Rare B</t>
  </si>
  <si>
    <t>衣柜</t>
  </si>
  <si>
    <r>
      <rPr>
        <b/>
        <sz val="10"/>
        <color indexed="12"/>
        <rFont val="宋体"/>
        <charset val="134"/>
      </rPr>
      <t>包包同</t>
    </r>
    <r>
      <rPr>
        <b/>
        <sz val="10"/>
        <color indexed="12"/>
        <rFont val="Times New Roman"/>
        <charset val="0"/>
      </rPr>
      <t>Fashion S2 #23 Rare B</t>
    </r>
  </si>
  <si>
    <t>#24 Rare C</t>
  </si>
  <si>
    <t>#38蓝色腰包盒</t>
  </si>
  <si>
    <t>#37橙色项圈盒</t>
  </si>
  <si>
    <t>#23绿色手表盒</t>
  </si>
  <si>
    <t>Demo</t>
  </si>
  <si>
    <t>SK Demo</t>
  </si>
  <si>
    <t>Remark: 
球壳计划采用50%再生料PP+50%普通PP方案，待工程放产后才可生产。</t>
  </si>
  <si>
    <t>MA-RR-915</t>
  </si>
  <si>
    <t>MA-RR-951</t>
  </si>
  <si>
    <t>MA-RR-959</t>
  </si>
  <si>
    <t>MA-RR-1017</t>
  </si>
  <si>
    <t>MA-RR-1024</t>
  </si>
  <si>
    <t>MA-RR-1108</t>
  </si>
  <si>
    <t>MA-RR-1169</t>
  </si>
  <si>
    <t>MA-RR-1297</t>
  </si>
  <si>
    <t>MA-RR-1535</t>
  </si>
  <si>
    <t>Grand Total</t>
  </si>
  <si>
    <t>无微塑料</t>
  </si>
  <si>
    <t>球</t>
  </si>
  <si>
    <t>PCS</t>
  </si>
  <si>
    <t>Accy 4</t>
  </si>
  <si>
    <t>Fashion S3# 77485</t>
  </si>
  <si>
    <t>14#白色手镯</t>
  </si>
  <si>
    <t>38#蓝色指甲贴纸</t>
  </si>
  <si>
    <t>4#绿色头箍</t>
  </si>
  <si>
    <t>17#金色项链</t>
  </si>
  <si>
    <t>#2包包</t>
  </si>
  <si>
    <t>20#白色太阳眼镜</t>
  </si>
  <si>
    <t>39#金色指甲贴纸</t>
  </si>
  <si>
    <t>6#银色头箍</t>
  </si>
  <si>
    <t>18#绿宝石项链</t>
  </si>
  <si>
    <t>24#透明盖口红</t>
  </si>
  <si>
    <t>40#粉色指甲贴纸</t>
  </si>
  <si>
    <t>15#银色手镯</t>
  </si>
  <si>
    <t>11#金色耳环</t>
  </si>
  <si>
    <t>#4包包</t>
  </si>
  <si>
    <t>19#银色项链</t>
  </si>
  <si>
    <t>23#唇釉</t>
  </si>
  <si>
    <t>#5包包</t>
  </si>
  <si>
    <t>28#黑色小腰包</t>
  </si>
  <si>
    <t>12#绿色耳环</t>
  </si>
  <si>
    <t>16#金色手镯</t>
  </si>
  <si>
    <t>#6包包</t>
  </si>
  <si>
    <t>22#红色太阳眼镜</t>
  </si>
  <si>
    <t>13#金色吊坠耳环</t>
  </si>
  <si>
    <t>27#绿色小腰包</t>
  </si>
  <si>
    <t>#7包包</t>
  </si>
  <si>
    <t>21#金色太阳眼镜</t>
  </si>
  <si>
    <t>#8包包</t>
  </si>
  <si>
    <t>29#黑色皮带</t>
  </si>
  <si>
    <t>#9包包</t>
  </si>
  <si>
    <t>37#棕色方巾</t>
  </si>
  <si>
    <t>#10包包</t>
  </si>
  <si>
    <t>5#金色头箍</t>
  </si>
  <si>
    <t>#11包包</t>
  </si>
  <si>
    <t>7#黑色蝴蝶结</t>
  </si>
  <si>
    <t>#12包包</t>
  </si>
  <si>
    <t>9#条纹蝴蝶结</t>
  </si>
  <si>
    <t>#13包包</t>
  </si>
  <si>
    <t>30#金色挂坠链</t>
  </si>
  <si>
    <t>#14包包</t>
  </si>
  <si>
    <t>2#草帽</t>
  </si>
  <si>
    <t>#15包包</t>
  </si>
  <si>
    <t>35#橙色方巾</t>
  </si>
  <si>
    <t>#16包包</t>
  </si>
  <si>
    <t>33#白色小猫</t>
  </si>
  <si>
    <t>#17包包</t>
  </si>
  <si>
    <t>36#粉色格纹丝巾</t>
  </si>
  <si>
    <t>#18包包</t>
  </si>
  <si>
    <t>34#蓝猫</t>
  </si>
  <si>
    <t>#19包包</t>
  </si>
  <si>
    <t>26#粉色小腰包</t>
  </si>
  <si>
    <t>10#粉色蝴蝶结</t>
  </si>
  <si>
    <t>#21包包</t>
  </si>
  <si>
    <t>25#白色盖口红</t>
  </si>
  <si>
    <t>Rare 包包</t>
  </si>
  <si>
    <t>#32暹罗猫</t>
  </si>
  <si>
    <t>#8点钻蝴蝶结</t>
  </si>
  <si>
    <t>#1黑色贝雷帽</t>
  </si>
  <si>
    <t>#31粉色挂坠链</t>
  </si>
  <si>
    <t>21pcs PDQ</t>
  </si>
  <si>
    <t>DEMO</t>
  </si>
  <si>
    <r>
      <rPr>
        <b/>
        <sz val="12"/>
        <color rgb="FF00B050"/>
        <rFont val="Times New Roman"/>
        <charset val="0"/>
      </rPr>
      <t>#1</t>
    </r>
    <r>
      <rPr>
        <b/>
        <sz val="12"/>
        <color rgb="FF00B050"/>
        <rFont val="宋体"/>
        <charset val="0"/>
      </rPr>
      <t>包包</t>
    </r>
  </si>
  <si>
    <t>#17Gucci球鞋</t>
  </si>
  <si>
    <t>30pcs SK
(W/O Base)</t>
  </si>
  <si>
    <r>
      <rPr>
        <b/>
        <sz val="12"/>
        <color rgb="FF00B050"/>
        <rFont val="Times New Roman"/>
        <charset val="0"/>
      </rPr>
      <t>60pcs SK
(W/O Base)</t>
    </r>
    <r>
      <rPr>
        <b/>
        <sz val="12"/>
        <color indexed="21"/>
        <rFont val="宋体"/>
        <charset val="134"/>
      </rPr>
      <t>无鞋子版本</t>
    </r>
  </si>
  <si>
    <r>
      <rPr>
        <b/>
        <sz val="12"/>
        <color rgb="FF00B050"/>
        <rFont val="Times New Roman"/>
        <charset val="0"/>
      </rPr>
      <t>#11</t>
    </r>
    <r>
      <rPr>
        <b/>
        <sz val="12"/>
        <color rgb="FF00B050"/>
        <rFont val="宋体"/>
        <charset val="0"/>
      </rPr>
      <t>包包</t>
    </r>
  </si>
  <si>
    <r>
      <rPr>
        <b/>
        <sz val="12"/>
        <color rgb="FF00B050"/>
        <rFont val="Times New Roman"/>
        <charset val="0"/>
      </rPr>
      <t>60pcs SK
(W/O Base)</t>
    </r>
    <r>
      <rPr>
        <b/>
        <sz val="12"/>
        <color indexed="21"/>
        <rFont val="宋体"/>
        <charset val="134"/>
      </rPr>
      <t>有鞋子版本</t>
    </r>
  </si>
  <si>
    <r>
      <rPr>
        <b/>
        <sz val="12"/>
        <color indexed="12"/>
        <rFont val="宋体"/>
        <charset val="134"/>
      </rPr>
      <t>这</t>
    </r>
    <r>
      <rPr>
        <b/>
        <sz val="12"/>
        <color indexed="12"/>
        <rFont val="Times New Roman"/>
        <charset val="0"/>
      </rPr>
      <t xml:space="preserve">108000pcs </t>
    </r>
    <r>
      <rPr>
        <b/>
        <sz val="12"/>
        <color indexed="12"/>
        <rFont val="宋体"/>
        <charset val="134"/>
      </rPr>
      <t>不带鞋子，为</t>
    </r>
    <r>
      <rPr>
        <b/>
        <sz val="12"/>
        <color indexed="12"/>
        <rFont val="Times New Roman"/>
        <charset val="0"/>
      </rPr>
      <t>Target</t>
    </r>
    <r>
      <rPr>
        <b/>
        <sz val="12"/>
        <color indexed="12"/>
        <rFont val="宋体"/>
        <charset val="134"/>
      </rPr>
      <t xml:space="preserve">订单, </t>
    </r>
    <r>
      <rPr>
        <b/>
        <sz val="12"/>
        <color indexed="12"/>
        <rFont val="宋体"/>
        <charset val="134"/>
      </rPr>
      <t>待工程放产后生产。</t>
    </r>
  </si>
  <si>
    <t>CONFIRMED AND ACCEPTED BY:</t>
  </si>
  <si>
    <t>FOR AND ON BEHALF OF ZURU INC</t>
  </si>
  <si>
    <t>SIGNATURE &amp; COMPANY CHOP</t>
  </si>
  <si>
    <t>放订时间</t>
  </si>
  <si>
    <r>
      <rPr>
        <sz val="13"/>
        <color rgb="FFFF0000"/>
        <rFont val="Tahoma"/>
        <charset val="134"/>
      </rPr>
      <t>MA</t>
    </r>
    <r>
      <rPr>
        <sz val="13"/>
        <color rgb="FFFF0000"/>
        <rFont val="宋体"/>
        <charset val="134"/>
      </rPr>
      <t>号</t>
    </r>
  </si>
  <si>
    <t>MA-RR-1665</t>
  </si>
  <si>
    <t>MA-RR-1856</t>
  </si>
  <si>
    <t>MA-RR-1892</t>
  </si>
  <si>
    <t>要求完成时间</t>
  </si>
  <si>
    <t>MA剩余数</t>
  </si>
  <si>
    <t>展示吸塑</t>
  </si>
  <si>
    <t>SK</t>
  </si>
  <si>
    <t>MA数</t>
  </si>
  <si>
    <t>Fashion S4 #77770</t>
  </si>
  <si>
    <t>20#粉兰色球鞋</t>
  </si>
  <si>
    <t>18#粉色笔记本</t>
  </si>
  <si>
    <t>31#红色头箍</t>
  </si>
  <si>
    <t>订单数</t>
  </si>
  <si>
    <t>7#粉色鞋子</t>
  </si>
  <si>
    <t>25#鸭子挂件</t>
  </si>
  <si>
    <t>36#粉色小腰包</t>
  </si>
  <si>
    <t>剩余数</t>
  </si>
  <si>
    <t>6#牛仔布短靴</t>
  </si>
  <si>
    <t>26#蓝色太阳眼镜</t>
  </si>
  <si>
    <t>30#银色盖口红</t>
  </si>
  <si>
    <t>21#乔丹球鞋</t>
  </si>
  <si>
    <t>16#钥匙挂件</t>
  </si>
  <si>
    <t>17#蓝色笔记本</t>
  </si>
  <si>
    <t>19#啡色马丁靴</t>
  </si>
  <si>
    <t>33#绿色方巾</t>
  </si>
  <si>
    <t>41#金色手镯</t>
  </si>
  <si>
    <t>11#黑色高靴</t>
  </si>
  <si>
    <t>14#化妆盒</t>
  </si>
  <si>
    <t>37#银色项链</t>
  </si>
  <si>
    <t>1#梅红凉鞋（Rare）</t>
  </si>
  <si>
    <t>19#化妆箱（Rare）</t>
  </si>
  <si>
    <t>23#博美狮子（Rare）</t>
  </si>
  <si>
    <t>12#粉紫植绒拖鞋</t>
  </si>
  <si>
    <t>20#小熊挂件</t>
  </si>
  <si>
    <t>34#紫色方巾</t>
  </si>
  <si>
    <t>4#高跟凉鞋</t>
  </si>
  <si>
    <t>9#手镯</t>
  </si>
  <si>
    <t>11#粉色眼镜</t>
  </si>
  <si>
    <t>2#粉色凉鞋</t>
  </si>
  <si>
    <t>4#紫色指甲油</t>
  </si>
  <si>
    <t>7#眼影盒</t>
  </si>
  <si>
    <t>13#厚底豹纹布鞋</t>
  </si>
  <si>
    <t>3#红色指甲油</t>
  </si>
  <si>
    <t>28#唇釉</t>
  </si>
  <si>
    <t>10#白色高靴</t>
  </si>
  <si>
    <t>5#金色香水瓶</t>
  </si>
  <si>
    <t>29#粉色盖口红</t>
  </si>
  <si>
    <t>17#银黑色运动鞋</t>
  </si>
  <si>
    <t>24#哈巴狗</t>
  </si>
  <si>
    <t>35#银色小腰包</t>
  </si>
  <si>
    <t>14#幻彩短靴</t>
  </si>
  <si>
    <t>15#照相机</t>
  </si>
  <si>
    <t>32#白色头箍</t>
  </si>
  <si>
    <t>3#红色凉鞋</t>
  </si>
  <si>
    <t>38#金色项链</t>
  </si>
  <si>
    <t>44#金色耳环</t>
  </si>
  <si>
    <r>
      <rPr>
        <b/>
        <sz val="12"/>
        <rFont val="Times New Roman"/>
        <charset val="134"/>
      </rPr>
      <t>40#</t>
    </r>
    <r>
      <rPr>
        <b/>
        <sz val="12"/>
        <rFont val="宋体"/>
        <charset val="134"/>
      </rPr>
      <t>红色贝雷帽</t>
    </r>
  </si>
  <si>
    <t>16#金色花朵拖鞋</t>
  </si>
  <si>
    <t>21#女生杂志</t>
  </si>
  <si>
    <t>42#黑色手镯</t>
  </si>
  <si>
    <t>15#巴黎世家球鞋</t>
  </si>
  <si>
    <t>1#车钥匙</t>
  </si>
  <si>
    <t>10#爱心挂绳</t>
  </si>
  <si>
    <t>5#吊带蓝色短靴</t>
  </si>
  <si>
    <t>39#牛仔色鸭舌帽</t>
  </si>
  <si>
    <t>43#银色耳环</t>
  </si>
  <si>
    <r>
      <rPr>
        <b/>
        <sz val="12"/>
        <rFont val="Times New Roman"/>
        <charset val="134"/>
      </rPr>
      <t>9#</t>
    </r>
    <r>
      <rPr>
        <b/>
        <sz val="12"/>
        <rFont val="宋体"/>
        <charset val="134"/>
      </rPr>
      <t>毛球拖鞋</t>
    </r>
  </si>
  <si>
    <t>12#紫色眼镜</t>
  </si>
  <si>
    <t>13#镜子</t>
  </si>
  <si>
    <t>8#太阳花朵拖鞋</t>
  </si>
  <si>
    <t>8#M耳钉</t>
  </si>
  <si>
    <t>45#黑色暹罗猫</t>
  </si>
  <si>
    <t>#22包包</t>
  </si>
  <si>
    <t>22#男生杂志</t>
  </si>
  <si>
    <t>27#绿色太阳眼镜</t>
  </si>
  <si>
    <t>#23包包</t>
  </si>
  <si>
    <t>18#粉白色运动鞋</t>
  </si>
  <si>
    <t>2#手机</t>
  </si>
  <si>
    <t>6#迪奥香水瓶</t>
  </si>
  <si>
    <t>16/25pcs PDQ</t>
  </si>
  <si>
    <r>
      <rPr>
        <b/>
        <sz val="12"/>
        <color rgb="FF00B050"/>
        <rFont val="Times New Roman"/>
        <charset val="134"/>
      </rPr>
      <t>#2</t>
    </r>
    <r>
      <rPr>
        <b/>
        <sz val="12"/>
        <color indexed="21"/>
        <rFont val="宋体"/>
        <charset val="134"/>
      </rPr>
      <t>包包</t>
    </r>
  </si>
  <si>
    <r>
      <rPr>
        <b/>
        <sz val="12"/>
        <color rgb="FF00B050"/>
        <rFont val="Times New Roman"/>
        <charset val="134"/>
      </rPr>
      <t>#7</t>
    </r>
    <r>
      <rPr>
        <b/>
        <sz val="12"/>
        <color indexed="21"/>
        <rFont val="宋体"/>
        <charset val="134"/>
      </rPr>
      <t>包包</t>
    </r>
  </si>
  <si>
    <r>
      <rPr>
        <b/>
        <sz val="12"/>
        <color rgb="FF00B050"/>
        <rFont val="Times New Roman"/>
        <charset val="134"/>
      </rPr>
      <t>#11</t>
    </r>
    <r>
      <rPr>
        <b/>
        <sz val="12"/>
        <color indexed="21"/>
        <rFont val="宋体"/>
        <charset val="134"/>
      </rPr>
      <t>包包</t>
    </r>
  </si>
  <si>
    <r>
      <rPr>
        <b/>
        <sz val="12"/>
        <color rgb="FF00B050"/>
        <rFont val="Times New Roman"/>
        <charset val="134"/>
      </rPr>
      <t>#9</t>
    </r>
    <r>
      <rPr>
        <b/>
        <sz val="12"/>
        <color indexed="21"/>
        <rFont val="宋体"/>
        <charset val="134"/>
      </rPr>
      <t>毛球拖鞋</t>
    </r>
  </si>
  <si>
    <t>30pcs SK
60pcs SK</t>
  </si>
  <si>
    <r>
      <rPr>
        <b/>
        <sz val="12"/>
        <color rgb="FF00B050"/>
        <rFont val="Times New Roman"/>
        <charset val="134"/>
      </rPr>
      <t>#13</t>
    </r>
    <r>
      <rPr>
        <b/>
        <sz val="12"/>
        <color indexed="21"/>
        <rFont val="宋体"/>
        <charset val="134"/>
      </rPr>
      <t>包包</t>
    </r>
  </si>
  <si>
    <r>
      <rPr>
        <b/>
        <sz val="12"/>
        <color rgb="FF00B050"/>
        <rFont val="Times New Roman"/>
        <charset val="134"/>
      </rPr>
      <t>#33</t>
    </r>
    <r>
      <rPr>
        <b/>
        <sz val="12"/>
        <color indexed="21"/>
        <rFont val="宋体"/>
        <charset val="134"/>
      </rPr>
      <t>绿色方巾</t>
    </r>
  </si>
  <si>
    <r>
      <rPr>
        <b/>
        <sz val="12"/>
        <color rgb="FF00B050"/>
        <rFont val="Times New Roman"/>
        <charset val="134"/>
      </rPr>
      <t>#40</t>
    </r>
    <r>
      <rPr>
        <b/>
        <sz val="12"/>
        <color indexed="21"/>
        <rFont val="宋体"/>
        <charset val="134"/>
      </rPr>
      <t>红色贝雷帽</t>
    </r>
  </si>
  <si>
    <t>新品待我司工程签样放产后才可安排备料及生产</t>
  </si>
  <si>
    <t>放定日期</t>
  </si>
  <si>
    <r>
      <rPr>
        <sz val="11"/>
        <color theme="1"/>
        <rFont val="宋体"/>
        <charset val="134"/>
      </rPr>
      <t>不含鞋子</t>
    </r>
    <r>
      <rPr>
        <sz val="11"/>
        <color theme="1"/>
        <rFont val="Times New Roman"/>
        <charset val="134"/>
      </rPr>
      <t>FC</t>
    </r>
  </si>
  <si>
    <r>
      <rPr>
        <sz val="11"/>
        <color theme="1"/>
        <rFont val="宋体"/>
        <charset val="134"/>
      </rPr>
      <t>含鞋子</t>
    </r>
    <r>
      <rPr>
        <sz val="11"/>
        <color theme="1"/>
        <rFont val="Times New Roman"/>
        <charset val="134"/>
      </rPr>
      <t>FC</t>
    </r>
  </si>
  <si>
    <t>到料日期</t>
  </si>
  <si>
    <t>Damand FCST by 2023-4-25</t>
  </si>
  <si>
    <t>MA No.</t>
  </si>
  <si>
    <t>MA-RR-857</t>
  </si>
  <si>
    <t>MA-RR-927</t>
  </si>
  <si>
    <t>MA-RR-944</t>
  </si>
  <si>
    <t>MA-RR-1008</t>
  </si>
  <si>
    <t>MA-RR-1023</t>
  </si>
  <si>
    <t>MA-RR-1112</t>
  </si>
  <si>
    <t>MA_RR_1170</t>
  </si>
  <si>
    <t>MA_RR_1299</t>
  </si>
  <si>
    <r>
      <rPr>
        <b/>
        <sz val="11"/>
        <color theme="1"/>
        <rFont val="Times New Roman"/>
        <charset val="134"/>
      </rPr>
      <t>MA</t>
    </r>
    <r>
      <rPr>
        <b/>
        <sz val="11"/>
        <color theme="1"/>
        <rFont val="宋体"/>
        <charset val="134"/>
      </rPr>
      <t>（不含鞋子）</t>
    </r>
  </si>
  <si>
    <r>
      <rPr>
        <b/>
        <sz val="11"/>
        <color theme="1"/>
        <rFont val="Times New Roman"/>
        <charset val="134"/>
      </rPr>
      <t>MA</t>
    </r>
    <r>
      <rPr>
        <b/>
        <sz val="11"/>
        <color theme="1"/>
        <rFont val="宋体"/>
        <charset val="134"/>
      </rPr>
      <t>（含鞋子）</t>
    </r>
  </si>
  <si>
    <r>
      <rPr>
        <b/>
        <sz val="11"/>
        <color theme="0"/>
        <rFont val="黑体"/>
        <charset val="134"/>
      </rPr>
      <t>图片</t>
    </r>
  </si>
  <si>
    <r>
      <rPr>
        <b/>
        <sz val="11"/>
        <color theme="0"/>
        <rFont val="黑体"/>
        <charset val="134"/>
      </rPr>
      <t>名称</t>
    </r>
  </si>
  <si>
    <r>
      <rPr>
        <b/>
        <sz val="11"/>
        <color theme="0"/>
        <rFont val="Times New Roman"/>
        <charset val="134"/>
      </rPr>
      <t>Ratio 1(</t>
    </r>
    <r>
      <rPr>
        <b/>
        <sz val="11"/>
        <color theme="0"/>
        <rFont val="宋体"/>
        <charset val="134"/>
      </rPr>
      <t>不含鞋子）</t>
    </r>
  </si>
  <si>
    <r>
      <rPr>
        <b/>
        <sz val="11"/>
        <color theme="0"/>
        <rFont val="Times New Roman"/>
        <charset val="134"/>
      </rPr>
      <t>Ratio 2(</t>
    </r>
    <r>
      <rPr>
        <b/>
        <sz val="11"/>
        <color theme="0"/>
        <rFont val="宋体"/>
        <charset val="134"/>
      </rPr>
      <t>含鞋子）</t>
    </r>
  </si>
  <si>
    <r>
      <rPr>
        <sz val="11"/>
        <color theme="0"/>
        <rFont val="黑体"/>
        <charset val="134"/>
      </rPr>
      <t>布料名称</t>
    </r>
  </si>
  <si>
    <r>
      <rPr>
        <b/>
        <sz val="11"/>
        <color theme="0"/>
        <rFont val="黑体"/>
        <charset val="134"/>
      </rPr>
      <t>部位</t>
    </r>
  </si>
  <si>
    <t>MOQ</t>
  </si>
  <si>
    <r>
      <rPr>
        <b/>
        <sz val="11"/>
        <color theme="0"/>
        <rFont val="黑体"/>
        <charset val="134"/>
      </rPr>
      <t>用量</t>
    </r>
  </si>
  <si>
    <r>
      <rPr>
        <b/>
        <sz val="11"/>
        <color theme="0"/>
        <rFont val="黑体"/>
        <charset val="134"/>
      </rPr>
      <t>可生产数量</t>
    </r>
    <r>
      <rPr>
        <b/>
        <sz val="11"/>
        <color theme="0"/>
        <rFont val="Times New Roman"/>
        <charset val="134"/>
      </rPr>
      <t>(PCS)</t>
    </r>
  </si>
  <si>
    <r>
      <rPr>
        <b/>
        <sz val="11"/>
        <color theme="0"/>
        <rFont val="黑体"/>
        <charset val="134"/>
      </rPr>
      <t xml:space="preserve">单价
</t>
    </r>
    <r>
      <rPr>
        <b/>
        <sz val="11"/>
        <color theme="0"/>
        <rFont val="Times New Roman"/>
        <charset val="134"/>
      </rPr>
      <t>(RMB)</t>
    </r>
  </si>
  <si>
    <r>
      <rPr>
        <b/>
        <sz val="11"/>
        <color theme="0"/>
        <rFont val="黑体"/>
        <charset val="134"/>
      </rPr>
      <t>布料生產期單位</t>
    </r>
    <r>
      <rPr>
        <b/>
        <sz val="11"/>
        <color theme="0"/>
        <rFont val="Times New Roman"/>
        <charset val="134"/>
      </rPr>
      <t>(</t>
    </r>
    <r>
      <rPr>
        <b/>
        <sz val="11"/>
        <color theme="0"/>
        <rFont val="黑体"/>
        <charset val="134"/>
      </rPr>
      <t>天</t>
    </r>
    <r>
      <rPr>
        <b/>
        <sz val="11"/>
        <color theme="0"/>
        <rFont val="Times New Roman"/>
        <charset val="134"/>
      </rPr>
      <t>)</t>
    </r>
  </si>
  <si>
    <r>
      <rPr>
        <b/>
        <sz val="11"/>
        <color theme="0"/>
        <rFont val="Times New Roman"/>
        <charset val="134"/>
      </rPr>
      <t>MOQ</t>
    </r>
    <r>
      <rPr>
        <b/>
        <sz val="11"/>
        <color theme="0"/>
        <rFont val="黑体"/>
        <charset val="134"/>
      </rPr>
      <t>生产量</t>
    </r>
    <r>
      <rPr>
        <b/>
        <sz val="11"/>
        <color theme="0"/>
        <rFont val="宋体"/>
        <charset val="134"/>
      </rPr>
      <t>（不含鞋子）</t>
    </r>
  </si>
  <si>
    <r>
      <rPr>
        <b/>
        <sz val="11"/>
        <color theme="0"/>
        <rFont val="Times New Roman"/>
        <charset val="134"/>
      </rPr>
      <t>MOQ</t>
    </r>
    <r>
      <rPr>
        <b/>
        <sz val="11"/>
        <color theme="0"/>
        <rFont val="黑体"/>
        <charset val="134"/>
      </rPr>
      <t>生产量</t>
    </r>
    <r>
      <rPr>
        <b/>
        <sz val="11"/>
        <color theme="0"/>
        <rFont val="宋体"/>
        <charset val="134"/>
      </rPr>
      <t>（含鞋子）</t>
    </r>
  </si>
  <si>
    <r>
      <rPr>
        <b/>
        <sz val="11"/>
        <color theme="0"/>
        <rFont val="黑体"/>
        <charset val="134"/>
      </rPr>
      <t>备注</t>
    </r>
  </si>
  <si>
    <r>
      <rPr>
        <b/>
        <sz val="11"/>
        <color theme="0"/>
        <rFont val="Times New Roman"/>
        <charset val="134"/>
      </rPr>
      <t>FCST</t>
    </r>
    <r>
      <rPr>
        <b/>
        <sz val="11"/>
        <color theme="0"/>
        <rFont val="黑体"/>
        <charset val="134"/>
      </rPr>
      <t>布料需求量</t>
    </r>
  </si>
  <si>
    <r>
      <rPr>
        <b/>
        <sz val="11"/>
        <color theme="0"/>
        <rFont val="黑体"/>
        <charset val="134"/>
      </rPr>
      <t>新购买</t>
    </r>
  </si>
  <si>
    <r>
      <rPr>
        <b/>
        <sz val="11"/>
        <color rgb="FFFFC000"/>
        <rFont val="宋体"/>
        <charset val="134"/>
      </rPr>
      <t>累计</t>
    </r>
    <r>
      <rPr>
        <b/>
        <sz val="11"/>
        <color rgb="FFFFC000"/>
        <rFont val="黑体"/>
        <charset val="134"/>
      </rPr>
      <t>购买金额</t>
    </r>
  </si>
  <si>
    <r>
      <rPr>
        <b/>
        <sz val="11"/>
        <color theme="0"/>
        <rFont val="Times New Roman"/>
        <charset val="134"/>
      </rPr>
      <t>S2</t>
    </r>
    <r>
      <rPr>
        <b/>
        <sz val="11"/>
        <color theme="0"/>
        <rFont val="黑体"/>
        <charset val="134"/>
      </rPr>
      <t>剩余数量</t>
    </r>
  </si>
  <si>
    <r>
      <rPr>
        <b/>
        <sz val="11"/>
        <color theme="0"/>
        <rFont val="黑体"/>
        <charset val="134"/>
      </rPr>
      <t>共用比例</t>
    </r>
    <r>
      <rPr>
        <b/>
        <sz val="11"/>
        <color theme="0"/>
        <rFont val="Times New Roman"/>
        <charset val="134"/>
      </rPr>
      <t>1</t>
    </r>
  </si>
  <si>
    <t>共用比例2</t>
  </si>
  <si>
    <r>
      <rPr>
        <b/>
        <sz val="11"/>
        <color theme="0"/>
        <rFont val="Times New Roman"/>
        <charset val="134"/>
      </rPr>
      <t>S2</t>
    </r>
    <r>
      <rPr>
        <b/>
        <sz val="11"/>
        <color theme="0"/>
        <rFont val="黑体"/>
        <charset val="134"/>
      </rPr>
      <t>结余分配布料数量</t>
    </r>
  </si>
  <si>
    <t>总布料数</t>
  </si>
  <si>
    <r>
      <rPr>
        <b/>
        <sz val="11"/>
        <color rgb="FFFFFF00"/>
        <rFont val="宋体"/>
        <charset val="134"/>
      </rPr>
      <t>布料</t>
    </r>
    <r>
      <rPr>
        <b/>
        <sz val="11"/>
        <color rgb="FFFFFF00"/>
        <rFont val="宋体"/>
        <charset val="134"/>
      </rPr>
      <t>可生产包包数</t>
    </r>
  </si>
  <si>
    <r>
      <rPr>
        <b/>
        <sz val="11"/>
        <color theme="0"/>
        <rFont val="宋体"/>
        <charset val="134"/>
      </rPr>
      <t>放订</t>
    </r>
    <r>
      <rPr>
        <b/>
        <sz val="11"/>
        <color theme="0"/>
        <rFont val="Times New Roman"/>
        <charset val="134"/>
      </rPr>
      <t>MA</t>
    </r>
    <r>
      <rPr>
        <b/>
        <sz val="11"/>
        <color theme="0"/>
        <rFont val="宋体"/>
        <charset val="134"/>
      </rPr>
      <t>所需包/帽子/鞋子数（球</t>
    </r>
    <r>
      <rPr>
        <b/>
        <sz val="11"/>
        <color theme="0"/>
        <rFont val="Times New Roman"/>
        <charset val="134"/>
      </rPr>
      <t>+DEMO)</t>
    </r>
  </si>
  <si>
    <r>
      <rPr>
        <b/>
        <sz val="11"/>
        <color rgb="FFFFFF00"/>
        <rFont val="Times New Roman"/>
        <charset val="134"/>
      </rPr>
      <t>S3</t>
    </r>
    <r>
      <rPr>
        <b/>
        <sz val="11"/>
        <color rgb="FFFFFF00"/>
        <rFont val="黑体"/>
        <charset val="134"/>
      </rPr>
      <t>生产</t>
    </r>
    <r>
      <rPr>
        <b/>
        <sz val="11"/>
        <color rgb="FFFFFF00"/>
        <rFont val="Times New Roman"/>
        <charset val="134"/>
      </rPr>
      <t>MA</t>
    </r>
    <r>
      <rPr>
        <b/>
        <sz val="11"/>
        <color rgb="FFFFFF00"/>
        <rFont val="黑体"/>
        <charset val="134"/>
      </rPr>
      <t>包包所需布料数</t>
    </r>
  </si>
  <si>
    <r>
      <rPr>
        <b/>
        <sz val="11"/>
        <rFont val="Times New Roman"/>
        <charset val="134"/>
      </rPr>
      <t>S2+S3</t>
    </r>
    <r>
      <rPr>
        <b/>
        <sz val="11"/>
        <rFont val="宋体"/>
        <charset val="134"/>
      </rPr>
      <t>理论布料结余</t>
    </r>
  </si>
  <si>
    <r>
      <rPr>
        <b/>
        <sz val="11"/>
        <rFont val="Times New Roman"/>
        <charset val="134"/>
      </rPr>
      <t>S2</t>
    </r>
    <r>
      <rPr>
        <b/>
        <sz val="11"/>
        <rFont val="宋体"/>
        <charset val="134"/>
      </rPr>
      <t>消耗</t>
    </r>
  </si>
  <si>
    <r>
      <rPr>
        <b/>
        <sz val="11"/>
        <rFont val="Times New Roman"/>
        <charset val="134"/>
      </rPr>
      <t>21pcs Demo (#1+#4+#11+#17</t>
    </r>
    <r>
      <rPr>
        <b/>
        <sz val="11"/>
        <rFont val="宋体"/>
        <charset val="134"/>
      </rPr>
      <t>鞋子</t>
    </r>
    <r>
      <rPr>
        <b/>
        <sz val="11"/>
        <rFont val="Times New Roman"/>
        <charset val="134"/>
      </rPr>
      <t>)</t>
    </r>
  </si>
  <si>
    <r>
      <rPr>
        <b/>
        <sz val="11"/>
        <rFont val="Times New Roman"/>
        <charset val="134"/>
      </rPr>
      <t>30 SK Demo (#21</t>
    </r>
    <r>
      <rPr>
        <b/>
        <sz val="11"/>
        <rFont val="宋体"/>
        <charset val="134"/>
      </rPr>
      <t>包</t>
    </r>
    <r>
      <rPr>
        <b/>
        <sz val="11"/>
        <rFont val="Times New Roman"/>
        <charset val="134"/>
      </rPr>
      <t>+#1</t>
    </r>
    <r>
      <rPr>
        <b/>
        <sz val="11"/>
        <rFont val="宋体"/>
        <charset val="134"/>
      </rPr>
      <t>鞋</t>
    </r>
    <r>
      <rPr>
        <b/>
        <sz val="11"/>
        <rFont val="Times New Roman"/>
        <charset val="134"/>
      </rPr>
      <t>+#4</t>
    </r>
    <r>
      <rPr>
        <b/>
        <sz val="11"/>
        <rFont val="宋体"/>
        <charset val="134"/>
      </rPr>
      <t>包</t>
    </r>
    <r>
      <rPr>
        <b/>
        <sz val="11"/>
        <rFont val="Times New Roman"/>
        <charset val="134"/>
      </rPr>
      <t>)</t>
    </r>
  </si>
  <si>
    <r>
      <rPr>
        <b/>
        <sz val="11"/>
        <rFont val="Times New Roman"/>
        <charset val="134"/>
      </rPr>
      <t>60 SK Demo (#1</t>
    </r>
    <r>
      <rPr>
        <b/>
        <sz val="11"/>
        <rFont val="宋体"/>
        <charset val="134"/>
      </rPr>
      <t>包</t>
    </r>
    <r>
      <rPr>
        <b/>
        <sz val="11"/>
        <rFont val="Times New Roman"/>
        <charset val="134"/>
      </rPr>
      <t>+#1</t>
    </r>
    <r>
      <rPr>
        <b/>
        <sz val="11"/>
        <rFont val="宋体"/>
        <charset val="134"/>
      </rPr>
      <t>鞋子</t>
    </r>
    <r>
      <rPr>
        <b/>
        <sz val="11"/>
        <rFont val="Times New Roman"/>
        <charset val="134"/>
      </rPr>
      <t>+#3</t>
    </r>
    <r>
      <rPr>
        <b/>
        <sz val="11"/>
        <rFont val="宋体"/>
        <charset val="134"/>
      </rPr>
      <t>配饰</t>
    </r>
    <r>
      <rPr>
        <b/>
        <sz val="11"/>
        <rFont val="Times New Roman"/>
        <charset val="134"/>
      </rPr>
      <t>)</t>
    </r>
  </si>
  <si>
    <r>
      <rPr>
        <b/>
        <sz val="11"/>
        <rFont val="宋体"/>
        <charset val="134"/>
      </rPr>
      <t>不带鞋子</t>
    </r>
    <r>
      <rPr>
        <b/>
        <sz val="11"/>
        <rFont val="Times New Roman"/>
        <charset val="134"/>
      </rPr>
      <t>SK</t>
    </r>
    <r>
      <rPr>
        <b/>
        <sz val="11"/>
        <rFont val="宋体"/>
        <charset val="134"/>
      </rPr>
      <t>（</t>
    </r>
    <r>
      <rPr>
        <b/>
        <sz val="11"/>
        <rFont val="Times New Roman"/>
        <charset val="134"/>
      </rPr>
      <t>#1</t>
    </r>
    <r>
      <rPr>
        <b/>
        <sz val="11"/>
        <rFont val="宋体"/>
        <charset val="134"/>
      </rPr>
      <t>包</t>
    </r>
    <r>
      <rPr>
        <b/>
        <sz val="11"/>
        <rFont val="Times New Roman"/>
        <charset val="134"/>
      </rPr>
      <t>+#11</t>
    </r>
    <r>
      <rPr>
        <b/>
        <sz val="11"/>
        <rFont val="宋体"/>
        <charset val="134"/>
      </rPr>
      <t>包</t>
    </r>
    <r>
      <rPr>
        <b/>
        <sz val="11"/>
        <rFont val="Times New Roman"/>
        <charset val="134"/>
      </rPr>
      <t>+#3</t>
    </r>
    <r>
      <rPr>
        <b/>
        <sz val="11"/>
        <rFont val="宋体"/>
        <charset val="134"/>
      </rPr>
      <t>粉帽子）</t>
    </r>
  </si>
  <si>
    <r>
      <rPr>
        <b/>
        <sz val="11"/>
        <rFont val="宋体"/>
        <charset val="134"/>
      </rPr>
      <t>理论结余布料可生产</t>
    </r>
    <r>
      <rPr>
        <b/>
        <sz val="11"/>
        <rFont val="Times New Roman"/>
        <charset val="134"/>
      </rPr>
      <t>MA</t>
    </r>
  </si>
  <si>
    <r>
      <rPr>
        <b/>
        <sz val="11"/>
        <rFont val="Times New Roman"/>
        <charset val="134"/>
      </rPr>
      <t>2023-11-17 RR</t>
    </r>
    <r>
      <rPr>
        <b/>
        <sz val="11"/>
        <rFont val="宋体"/>
        <charset val="134"/>
      </rPr>
      <t>确认扣除82万</t>
    </r>
    <r>
      <rPr>
        <b/>
        <sz val="11"/>
        <rFont val="Times New Roman"/>
        <charset val="134"/>
      </rPr>
      <t>MA</t>
    </r>
    <r>
      <rPr>
        <b/>
        <sz val="11"/>
        <rFont val="宋体"/>
        <charset val="134"/>
      </rPr>
      <t>后多余布料</t>
    </r>
  </si>
  <si>
    <r>
      <rPr>
        <sz val="11"/>
        <color theme="1"/>
        <rFont val="Times New Roman"/>
        <charset val="134"/>
      </rPr>
      <t xml:space="preserve">#22RARE </t>
    </r>
    <r>
      <rPr>
        <sz val="11"/>
        <color theme="1"/>
        <rFont val="黑体"/>
        <charset val="134"/>
      </rPr>
      <t>红色背包</t>
    </r>
  </si>
  <si>
    <r>
      <rPr>
        <sz val="11"/>
        <rFont val="Times New Roman"/>
        <charset val="134"/>
      </rPr>
      <t>54"</t>
    </r>
    <r>
      <rPr>
        <sz val="11"/>
        <rFont val="黑体"/>
        <charset val="134"/>
      </rPr>
      <t>红色</t>
    </r>
    <r>
      <rPr>
        <sz val="11"/>
        <rFont val="Times New Roman"/>
        <charset val="134"/>
      </rPr>
      <t>PU</t>
    </r>
    <r>
      <rPr>
        <sz val="11"/>
        <rFont val="黑体"/>
        <charset val="134"/>
      </rPr>
      <t>压纹</t>
    </r>
  </si>
  <si>
    <r>
      <rPr>
        <sz val="11"/>
        <rFont val="黑体"/>
        <charset val="134"/>
      </rPr>
      <t>前外片</t>
    </r>
  </si>
  <si>
    <r>
      <rPr>
        <sz val="11"/>
        <color theme="1"/>
        <rFont val="Times New Roman"/>
        <charset val="134"/>
      </rPr>
      <t>40</t>
    </r>
    <r>
      <rPr>
        <sz val="11"/>
        <color theme="1"/>
        <rFont val="黑体"/>
        <charset val="134"/>
      </rPr>
      <t>天</t>
    </r>
  </si>
  <si>
    <r>
      <rPr>
        <sz val="11"/>
        <rFont val="Times New Roman"/>
        <charset val="134"/>
      </rPr>
      <t>54"</t>
    </r>
    <r>
      <rPr>
        <sz val="11"/>
        <rFont val="黑体"/>
        <charset val="134"/>
      </rPr>
      <t>红色</t>
    </r>
    <r>
      <rPr>
        <sz val="11"/>
        <rFont val="Times New Roman"/>
        <charset val="134"/>
      </rPr>
      <t>PU/</t>
    </r>
    <r>
      <rPr>
        <sz val="11"/>
        <rFont val="黑体"/>
        <charset val="134"/>
      </rPr>
      <t>同底同色</t>
    </r>
  </si>
  <si>
    <r>
      <rPr>
        <sz val="11"/>
        <rFont val="黑体"/>
        <charset val="134"/>
      </rPr>
      <t>外片</t>
    </r>
    <r>
      <rPr>
        <sz val="11"/>
        <rFont val="Times New Roman"/>
        <charset val="134"/>
      </rPr>
      <t>/</t>
    </r>
    <r>
      <rPr>
        <sz val="11"/>
        <rFont val="黑体"/>
        <charset val="134"/>
      </rPr>
      <t>提手</t>
    </r>
  </si>
  <si>
    <r>
      <rPr>
        <sz val="11"/>
        <color theme="1"/>
        <rFont val="黑体"/>
        <charset val="134"/>
      </rPr>
      <t>共用</t>
    </r>
    <r>
      <rPr>
        <sz val="11"/>
        <color theme="1"/>
        <rFont val="Times New Roman"/>
        <charset val="134"/>
      </rPr>
      <t>RARE/#6-S2#4</t>
    </r>
  </si>
  <si>
    <r>
      <rPr>
        <sz val="11"/>
        <rFont val="Times New Roman"/>
        <charset val="134"/>
      </rPr>
      <t>60"</t>
    </r>
    <r>
      <rPr>
        <sz val="11"/>
        <rFont val="黑体"/>
        <charset val="134"/>
      </rPr>
      <t>红色加密植绒布佳积底</t>
    </r>
  </si>
  <si>
    <r>
      <rPr>
        <sz val="11"/>
        <rFont val="黑体"/>
        <charset val="134"/>
      </rPr>
      <t>内衬</t>
    </r>
  </si>
  <si>
    <r>
      <rPr>
        <sz val="11"/>
        <color theme="1"/>
        <rFont val="黑体"/>
        <charset val="134"/>
      </rPr>
      <t>共用</t>
    </r>
    <r>
      <rPr>
        <sz val="11"/>
        <color theme="1"/>
        <rFont val="Times New Roman"/>
        <charset val="134"/>
      </rPr>
      <t>RARE/#6-</t>
    </r>
    <r>
      <rPr>
        <sz val="11"/>
        <color rgb="FFFF0000"/>
        <rFont val="Times New Roman"/>
        <charset val="134"/>
      </rPr>
      <t>S2</t>
    </r>
    <r>
      <rPr>
        <sz val="11"/>
        <color theme="1"/>
        <rFont val="Times New Roman"/>
        <charset val="134"/>
      </rPr>
      <t>#4</t>
    </r>
  </si>
  <si>
    <r>
      <rPr>
        <sz val="11"/>
        <rFont val="黑体"/>
        <charset val="134"/>
      </rPr>
      <t>全套辅料</t>
    </r>
  </si>
  <si>
    <r>
      <rPr>
        <sz val="11"/>
        <color theme="1"/>
        <rFont val="Times New Roman"/>
        <charset val="134"/>
      </rPr>
      <t>#2</t>
    </r>
    <r>
      <rPr>
        <sz val="11"/>
        <color theme="1"/>
        <rFont val="黑体"/>
        <charset val="134"/>
      </rPr>
      <t>透明网格包</t>
    </r>
  </si>
  <si>
    <r>
      <rPr>
        <sz val="11"/>
        <rFont val="Times New Roman"/>
        <charset val="134"/>
      </rPr>
      <t>54"</t>
    </r>
    <r>
      <rPr>
        <sz val="11"/>
        <rFont val="黑体"/>
        <charset val="134"/>
      </rPr>
      <t>黑色</t>
    </r>
    <r>
      <rPr>
        <sz val="11"/>
        <rFont val="Times New Roman"/>
        <charset val="134"/>
      </rPr>
      <t>PU</t>
    </r>
    <r>
      <rPr>
        <sz val="11"/>
        <rFont val="黑体"/>
        <charset val="134"/>
      </rPr>
      <t>皮</t>
    </r>
  </si>
  <si>
    <r>
      <rPr>
        <sz val="11"/>
        <rFont val="黑体"/>
        <charset val="134"/>
      </rPr>
      <t>前后片</t>
    </r>
    <r>
      <rPr>
        <sz val="11"/>
        <rFont val="Times New Roman"/>
        <charset val="134"/>
      </rPr>
      <t>/</t>
    </r>
    <r>
      <rPr>
        <sz val="11"/>
        <rFont val="黑体"/>
        <charset val="134"/>
      </rPr>
      <t>提手</t>
    </r>
  </si>
  <si>
    <r>
      <rPr>
        <sz val="11"/>
        <color theme="1"/>
        <rFont val="黑体"/>
        <charset val="134"/>
      </rPr>
      <t>共用</t>
    </r>
    <r>
      <rPr>
        <sz val="11"/>
        <color theme="1"/>
        <rFont val="Times New Roman"/>
        <charset val="134"/>
      </rPr>
      <t>S2-#6</t>
    </r>
    <r>
      <rPr>
        <sz val="11"/>
        <color theme="1"/>
        <rFont val="黑体"/>
        <charset val="134"/>
      </rPr>
      <t>、</t>
    </r>
    <r>
      <rPr>
        <sz val="11"/>
        <color theme="1"/>
        <rFont val="Times New Roman"/>
        <charset val="134"/>
      </rPr>
      <t>S2#8</t>
    </r>
  </si>
  <si>
    <r>
      <rPr>
        <sz val="11"/>
        <rFont val="Times New Roman"/>
        <charset val="134"/>
      </rPr>
      <t>54"0.2MM</t>
    </r>
    <r>
      <rPr>
        <sz val="11"/>
        <rFont val="黑体"/>
        <charset val="134"/>
      </rPr>
      <t>透明</t>
    </r>
    <r>
      <rPr>
        <sz val="11"/>
        <rFont val="Times New Roman"/>
        <charset val="134"/>
      </rPr>
      <t xml:space="preserve">PVC </t>
    </r>
  </si>
  <si>
    <r>
      <rPr>
        <sz val="11"/>
        <rFont val="黑体"/>
        <charset val="134"/>
      </rPr>
      <t>底衬</t>
    </r>
  </si>
  <si>
    <r>
      <rPr>
        <sz val="11"/>
        <color theme="1"/>
        <rFont val="Times New Roman"/>
        <charset val="134"/>
      </rPr>
      <t>#3</t>
    </r>
    <r>
      <rPr>
        <sz val="11"/>
        <color theme="1"/>
        <rFont val="黑体"/>
        <charset val="134"/>
      </rPr>
      <t>黑白色飞鸟格包</t>
    </r>
    <r>
      <rPr>
        <sz val="11"/>
        <color rgb="FFFF0000"/>
        <rFont val="Times New Roman"/>
        <charset val="134"/>
      </rPr>
      <t xml:space="preserve"> </t>
    </r>
  </si>
  <si>
    <r>
      <rPr>
        <sz val="11"/>
        <rFont val="Times New Roman"/>
        <charset val="134"/>
      </rPr>
      <t>54"</t>
    </r>
    <r>
      <rPr>
        <sz val="11"/>
        <rFont val="黑体"/>
        <charset val="134"/>
      </rPr>
      <t>黑白色飞鸟格</t>
    </r>
  </si>
  <si>
    <r>
      <rPr>
        <sz val="11"/>
        <rFont val="黑体"/>
        <charset val="134"/>
      </rPr>
      <t>前后片</t>
    </r>
    <r>
      <rPr>
        <sz val="11"/>
        <rFont val="Times New Roman"/>
        <charset val="134"/>
      </rPr>
      <t>/</t>
    </r>
    <r>
      <rPr>
        <sz val="11"/>
        <rFont val="黑体"/>
        <charset val="134"/>
      </rPr>
      <t>侧片</t>
    </r>
  </si>
  <si>
    <r>
      <rPr>
        <sz val="11"/>
        <rFont val="Times New Roman"/>
        <charset val="134"/>
      </rPr>
      <t>54"</t>
    </r>
    <r>
      <rPr>
        <sz val="11"/>
        <rFont val="黑体"/>
        <charset val="134"/>
      </rPr>
      <t>金色</t>
    </r>
    <r>
      <rPr>
        <sz val="11"/>
        <rFont val="Times New Roman"/>
        <charset val="134"/>
      </rPr>
      <t>PU</t>
    </r>
    <r>
      <rPr>
        <sz val="11"/>
        <rFont val="黑体"/>
        <charset val="134"/>
      </rPr>
      <t>皮</t>
    </r>
  </si>
  <si>
    <r>
      <rPr>
        <sz val="11"/>
        <rFont val="黑体"/>
        <charset val="134"/>
      </rPr>
      <t>提手</t>
    </r>
    <r>
      <rPr>
        <sz val="11"/>
        <rFont val="Times New Roman"/>
        <charset val="134"/>
      </rPr>
      <t>/</t>
    </r>
    <r>
      <rPr>
        <sz val="11"/>
        <rFont val="黑体"/>
        <charset val="134"/>
      </rPr>
      <t>边条</t>
    </r>
  </si>
  <si>
    <r>
      <rPr>
        <sz val="11"/>
        <color theme="1"/>
        <rFont val="黑体"/>
        <charset val="134"/>
      </rPr>
      <t>不共用</t>
    </r>
  </si>
  <si>
    <r>
      <rPr>
        <sz val="11"/>
        <rFont val="Times New Roman"/>
        <charset val="134"/>
      </rPr>
      <t>60"</t>
    </r>
    <r>
      <rPr>
        <sz val="11"/>
        <rFont val="黑体"/>
        <charset val="134"/>
      </rPr>
      <t>黑色加密植绒布佳积底</t>
    </r>
  </si>
  <si>
    <r>
      <rPr>
        <sz val="11"/>
        <color theme="1"/>
        <rFont val="黑体"/>
        <charset val="134"/>
      </rPr>
      <t>共用</t>
    </r>
    <r>
      <rPr>
        <sz val="11"/>
        <color theme="1"/>
        <rFont val="Times New Roman"/>
        <charset val="134"/>
      </rPr>
      <t>S2-#17</t>
    </r>
  </si>
  <si>
    <r>
      <rPr>
        <sz val="11"/>
        <color theme="1"/>
        <rFont val="Times New Roman"/>
        <charset val="134"/>
      </rPr>
      <t>#4</t>
    </r>
    <r>
      <rPr>
        <sz val="11"/>
        <color theme="1"/>
        <rFont val="黑体"/>
        <charset val="134"/>
      </rPr>
      <t>米白色印花包（</t>
    </r>
    <r>
      <rPr>
        <sz val="11"/>
        <color rgb="FFFF0000"/>
        <rFont val="Times New Roman"/>
        <charset val="134"/>
      </rPr>
      <t>21pcs PDQ Demo</t>
    </r>
    <r>
      <rPr>
        <sz val="11"/>
        <color theme="1"/>
        <rFont val="黑体"/>
        <charset val="134"/>
      </rPr>
      <t>）</t>
    </r>
  </si>
  <si>
    <r>
      <rPr>
        <sz val="11"/>
        <rFont val="Times New Roman"/>
        <charset val="134"/>
      </rPr>
      <t>54"</t>
    </r>
    <r>
      <rPr>
        <sz val="11"/>
        <rFont val="黑体"/>
        <charset val="134"/>
      </rPr>
      <t>米白色</t>
    </r>
    <r>
      <rPr>
        <sz val="11"/>
        <rFont val="Times New Roman"/>
        <charset val="134"/>
      </rPr>
      <t>PU</t>
    </r>
    <r>
      <rPr>
        <sz val="11"/>
        <rFont val="黑体"/>
        <charset val="134"/>
      </rPr>
      <t>皮</t>
    </r>
    <r>
      <rPr>
        <sz val="11"/>
        <rFont val="Times New Roman"/>
        <charset val="134"/>
      </rPr>
      <t>/</t>
    </r>
    <r>
      <rPr>
        <sz val="11"/>
        <rFont val="黑体"/>
        <charset val="134"/>
      </rPr>
      <t>同底同色</t>
    </r>
  </si>
  <si>
    <r>
      <rPr>
        <sz val="11"/>
        <rFont val="黑体"/>
        <charset val="134"/>
      </rPr>
      <t>前片</t>
    </r>
    <r>
      <rPr>
        <sz val="11"/>
        <rFont val="Times New Roman"/>
        <charset val="134"/>
      </rPr>
      <t>/</t>
    </r>
    <r>
      <rPr>
        <sz val="11"/>
        <rFont val="黑体"/>
        <charset val="134"/>
      </rPr>
      <t>侧边</t>
    </r>
    <r>
      <rPr>
        <sz val="11"/>
        <rFont val="Times New Roman"/>
        <charset val="134"/>
      </rPr>
      <t>/</t>
    </r>
    <r>
      <rPr>
        <sz val="11"/>
        <rFont val="黑体"/>
        <charset val="134"/>
      </rPr>
      <t>后片外</t>
    </r>
  </si>
  <si>
    <r>
      <rPr>
        <sz val="11"/>
        <color theme="1"/>
        <rFont val="黑体"/>
        <charset val="134"/>
      </rPr>
      <t>公用</t>
    </r>
    <r>
      <rPr>
        <sz val="11"/>
        <color theme="1"/>
        <rFont val="Times New Roman"/>
        <charset val="134"/>
      </rPr>
      <t>#4#8#15</t>
    </r>
  </si>
  <si>
    <r>
      <rPr>
        <sz val="11"/>
        <color theme="1"/>
        <rFont val="Times New Roman"/>
        <charset val="134"/>
      </rPr>
      <t>#5</t>
    </r>
    <r>
      <rPr>
        <sz val="11"/>
        <color theme="1"/>
        <rFont val="黑体"/>
        <charset val="134"/>
      </rPr>
      <t>黑色包</t>
    </r>
  </si>
  <si>
    <r>
      <rPr>
        <sz val="11"/>
        <rFont val="Times New Roman"/>
        <charset val="134"/>
      </rPr>
      <t>58"</t>
    </r>
    <r>
      <rPr>
        <sz val="11"/>
        <rFont val="黑体"/>
        <charset val="134"/>
      </rPr>
      <t>黑色色丁布</t>
    </r>
  </si>
  <si>
    <r>
      <rPr>
        <sz val="11"/>
        <color theme="1"/>
        <rFont val="黑体"/>
        <charset val="134"/>
      </rPr>
      <t>袋面</t>
    </r>
  </si>
  <si>
    <r>
      <rPr>
        <sz val="11"/>
        <rFont val="Times New Roman"/>
        <charset val="134"/>
      </rPr>
      <t>58"</t>
    </r>
    <r>
      <rPr>
        <sz val="11"/>
        <rFont val="黑体"/>
        <charset val="134"/>
      </rPr>
      <t>黑色佳绩布</t>
    </r>
  </si>
  <si>
    <r>
      <rPr>
        <sz val="11"/>
        <rFont val="Times New Roman"/>
        <charset val="134"/>
      </rPr>
      <t>54"</t>
    </r>
    <r>
      <rPr>
        <sz val="11"/>
        <rFont val="黑体"/>
        <charset val="134"/>
      </rPr>
      <t>黑色亚光</t>
    </r>
    <r>
      <rPr>
        <sz val="11"/>
        <rFont val="Times New Roman"/>
        <charset val="134"/>
      </rPr>
      <t>PU</t>
    </r>
    <r>
      <rPr>
        <sz val="11"/>
        <rFont val="黑体"/>
        <charset val="134"/>
      </rPr>
      <t>皮</t>
    </r>
  </si>
  <si>
    <r>
      <rPr>
        <sz val="11"/>
        <color theme="1"/>
        <rFont val="黑体"/>
        <charset val="134"/>
      </rPr>
      <t>手提</t>
    </r>
    <r>
      <rPr>
        <sz val="11"/>
        <color theme="1"/>
        <rFont val="Times New Roman"/>
        <charset val="134"/>
      </rPr>
      <t>/</t>
    </r>
    <r>
      <rPr>
        <sz val="11"/>
        <color theme="1"/>
        <rFont val="黑体"/>
        <charset val="134"/>
      </rPr>
      <t>袋侧</t>
    </r>
  </si>
  <si>
    <r>
      <rPr>
        <sz val="11"/>
        <color theme="1"/>
        <rFont val="Times New Roman"/>
        <charset val="134"/>
      </rPr>
      <t>#6</t>
    </r>
    <r>
      <rPr>
        <sz val="11"/>
        <color theme="1"/>
        <rFont val="黑体"/>
        <charset val="134"/>
      </rPr>
      <t>红色包</t>
    </r>
  </si>
  <si>
    <r>
      <rPr>
        <sz val="11"/>
        <rFont val="黑体"/>
        <charset val="134"/>
      </rPr>
      <t>袋身</t>
    </r>
    <r>
      <rPr>
        <sz val="11"/>
        <rFont val="Times New Roman"/>
        <charset val="134"/>
      </rPr>
      <t>/</t>
    </r>
    <r>
      <rPr>
        <sz val="11"/>
        <rFont val="黑体"/>
        <charset val="134"/>
      </rPr>
      <t>袋边</t>
    </r>
  </si>
  <si>
    <r>
      <rPr>
        <sz val="11"/>
        <rFont val="黑体"/>
        <charset val="134"/>
      </rPr>
      <t>前后片</t>
    </r>
  </si>
  <si>
    <r>
      <rPr>
        <sz val="11"/>
        <rFont val="Times New Roman"/>
        <charset val="134"/>
      </rPr>
      <t>31"0.55MM</t>
    </r>
    <r>
      <rPr>
        <sz val="11"/>
        <rFont val="黑体"/>
        <charset val="134"/>
      </rPr>
      <t>厚白</t>
    </r>
    <r>
      <rPr>
        <sz val="11"/>
        <rFont val="Times New Roman"/>
        <charset val="134"/>
      </rPr>
      <t>/</t>
    </r>
    <r>
      <rPr>
        <sz val="11"/>
        <rFont val="黑体"/>
        <charset val="134"/>
      </rPr>
      <t>灰纸板</t>
    </r>
  </si>
  <si>
    <r>
      <rPr>
        <sz val="11"/>
        <rFont val="黑体"/>
        <charset val="134"/>
      </rPr>
      <t>底</t>
    </r>
  </si>
  <si>
    <r>
      <rPr>
        <sz val="11"/>
        <color theme="1"/>
        <rFont val="Times New Roman"/>
        <charset val="134"/>
      </rPr>
      <t>S2/S3</t>
    </r>
    <r>
      <rPr>
        <sz val="11"/>
        <color theme="1"/>
        <rFont val="黑体"/>
        <charset val="134"/>
      </rPr>
      <t>共用</t>
    </r>
    <r>
      <rPr>
        <sz val="11"/>
        <color theme="1"/>
        <rFont val="Times New Roman"/>
        <charset val="134"/>
      </rPr>
      <t>#6#7#8#9#10#11##12#13</t>
    </r>
  </si>
  <si>
    <r>
      <rPr>
        <sz val="11"/>
        <color theme="1"/>
        <rFont val="Times New Roman"/>
        <charset val="134"/>
      </rPr>
      <t>#7</t>
    </r>
    <r>
      <rPr>
        <sz val="11"/>
        <color theme="1"/>
        <rFont val="黑体"/>
        <charset val="134"/>
      </rPr>
      <t>白色印字母包</t>
    </r>
  </si>
  <si>
    <r>
      <rPr>
        <sz val="11"/>
        <rFont val="Times New Roman"/>
        <charset val="134"/>
      </rPr>
      <t>54"</t>
    </r>
    <r>
      <rPr>
        <sz val="11"/>
        <rFont val="黑体"/>
        <charset val="134"/>
      </rPr>
      <t>白色</t>
    </r>
    <r>
      <rPr>
        <sz val="11"/>
        <rFont val="Times New Roman"/>
        <charset val="134"/>
      </rPr>
      <t>PU</t>
    </r>
    <r>
      <rPr>
        <sz val="11"/>
        <rFont val="黑体"/>
        <charset val="134"/>
      </rPr>
      <t>皮印花</t>
    </r>
  </si>
  <si>
    <r>
      <rPr>
        <sz val="11"/>
        <rFont val="黑体"/>
        <charset val="134"/>
      </rPr>
      <t>袋身</t>
    </r>
    <r>
      <rPr>
        <sz val="11"/>
        <rFont val="Times New Roman"/>
        <charset val="134"/>
      </rPr>
      <t>/</t>
    </r>
    <r>
      <rPr>
        <sz val="11"/>
        <rFont val="黑体"/>
        <charset val="134"/>
      </rPr>
      <t>袋盖</t>
    </r>
  </si>
  <si>
    <r>
      <rPr>
        <sz val="11"/>
        <rFont val="Times New Roman"/>
        <charset val="134"/>
      </rPr>
      <t>60"</t>
    </r>
    <r>
      <rPr>
        <sz val="11"/>
        <rFont val="黑体"/>
        <charset val="134"/>
      </rPr>
      <t>本白色加密植绒布佳积底</t>
    </r>
  </si>
  <si>
    <r>
      <rPr>
        <sz val="11"/>
        <rFont val="黑体"/>
        <charset val="134"/>
      </rPr>
      <t>前袋侧</t>
    </r>
    <r>
      <rPr>
        <sz val="11"/>
        <rFont val="Times New Roman"/>
        <charset val="134"/>
      </rPr>
      <t>/</t>
    </r>
    <r>
      <rPr>
        <sz val="11"/>
        <rFont val="黑体"/>
        <charset val="134"/>
      </rPr>
      <t>侧袋</t>
    </r>
  </si>
  <si>
    <r>
      <rPr>
        <sz val="11"/>
        <color theme="1"/>
        <rFont val="黑体"/>
        <charset val="134"/>
      </rPr>
      <t>共用</t>
    </r>
    <r>
      <rPr>
        <sz val="11"/>
        <color theme="1"/>
        <rFont val="Times New Roman"/>
        <charset val="134"/>
      </rPr>
      <t>S2-#3</t>
    </r>
  </si>
  <si>
    <r>
      <rPr>
        <sz val="11"/>
        <rFont val="Times New Roman"/>
        <charset val="134"/>
      </rPr>
      <t>54"</t>
    </r>
    <r>
      <rPr>
        <sz val="11"/>
        <rFont val="黑体"/>
        <charset val="134"/>
      </rPr>
      <t>杏色</t>
    </r>
    <r>
      <rPr>
        <sz val="11"/>
        <rFont val="Times New Roman"/>
        <charset val="134"/>
      </rPr>
      <t>PU</t>
    </r>
    <r>
      <rPr>
        <sz val="11"/>
        <rFont val="黑体"/>
        <charset val="134"/>
      </rPr>
      <t>皮</t>
    </r>
  </si>
  <si>
    <r>
      <rPr>
        <sz val="11"/>
        <rFont val="黑体"/>
        <charset val="134"/>
      </rPr>
      <t>袋盖边</t>
    </r>
  </si>
  <si>
    <r>
      <rPr>
        <sz val="11"/>
        <color theme="1"/>
        <rFont val="Times New Roman"/>
        <charset val="134"/>
      </rPr>
      <t>#8</t>
    </r>
    <r>
      <rPr>
        <sz val="11"/>
        <color theme="1"/>
        <rFont val="黑体"/>
        <charset val="134"/>
      </rPr>
      <t>黑白间条包</t>
    </r>
  </si>
  <si>
    <r>
      <rPr>
        <sz val="11"/>
        <color theme="1"/>
        <rFont val="黑体"/>
        <charset val="134"/>
      </rPr>
      <t>共用</t>
    </r>
    <r>
      <rPr>
        <sz val="11"/>
        <color theme="1"/>
        <rFont val="Times New Roman"/>
        <charset val="134"/>
      </rPr>
      <t>#4#8#15</t>
    </r>
  </si>
  <si>
    <r>
      <rPr>
        <sz val="11"/>
        <rFont val="Times New Roman"/>
        <charset val="134"/>
      </rPr>
      <t>54"</t>
    </r>
    <r>
      <rPr>
        <sz val="11"/>
        <rFont val="黑体"/>
        <charset val="134"/>
      </rPr>
      <t>黑色亚光</t>
    </r>
    <r>
      <rPr>
        <sz val="11"/>
        <rFont val="Times New Roman"/>
        <charset val="134"/>
      </rPr>
      <t>PU</t>
    </r>
    <r>
      <rPr>
        <sz val="11"/>
        <rFont val="黑体"/>
        <charset val="134"/>
      </rPr>
      <t>皮</t>
    </r>
    <r>
      <rPr>
        <sz val="11"/>
        <rFont val="Times New Roman"/>
        <charset val="134"/>
      </rPr>
      <t>(</t>
    </r>
    <r>
      <rPr>
        <sz val="11"/>
        <rFont val="黑体"/>
        <charset val="134"/>
      </rPr>
      <t>硬）</t>
    </r>
  </si>
  <si>
    <r>
      <rPr>
        <sz val="11"/>
        <rFont val="黑体"/>
        <charset val="134"/>
      </rPr>
      <t>外袋</t>
    </r>
    <r>
      <rPr>
        <sz val="11"/>
        <rFont val="Times New Roman"/>
        <charset val="134"/>
      </rPr>
      <t>/</t>
    </r>
    <r>
      <rPr>
        <sz val="11"/>
        <rFont val="黑体"/>
        <charset val="134"/>
      </rPr>
      <t>内袋</t>
    </r>
    <r>
      <rPr>
        <sz val="11"/>
        <rFont val="Times New Roman"/>
        <charset val="134"/>
      </rPr>
      <t>/</t>
    </r>
    <r>
      <rPr>
        <sz val="11"/>
        <rFont val="黑体"/>
        <charset val="134"/>
      </rPr>
      <t>底</t>
    </r>
    <r>
      <rPr>
        <sz val="11"/>
        <rFont val="Times New Roman"/>
        <charset val="134"/>
      </rPr>
      <t>/</t>
    </r>
    <r>
      <rPr>
        <sz val="11"/>
        <rFont val="黑体"/>
        <charset val="134"/>
      </rPr>
      <t>提手</t>
    </r>
  </si>
  <si>
    <r>
      <rPr>
        <strike/>
        <sz val="11"/>
        <color theme="1"/>
        <rFont val="黑体"/>
        <charset val="134"/>
      </rPr>
      <t>共用</t>
    </r>
  </si>
  <si>
    <r>
      <rPr>
        <sz val="11"/>
        <rFont val="Times New Roman"/>
        <charset val="134"/>
      </rPr>
      <t>48":0.3MM</t>
    </r>
    <r>
      <rPr>
        <sz val="11"/>
        <rFont val="黑体"/>
        <charset val="134"/>
      </rPr>
      <t>透明</t>
    </r>
    <r>
      <rPr>
        <sz val="11"/>
        <rFont val="Times New Roman"/>
        <charset val="134"/>
      </rPr>
      <t>PVC</t>
    </r>
  </si>
  <si>
    <r>
      <rPr>
        <sz val="11"/>
        <color theme="1"/>
        <rFont val="Times New Roman"/>
        <charset val="134"/>
      </rPr>
      <t>#9</t>
    </r>
    <r>
      <rPr>
        <sz val="11"/>
        <color theme="1"/>
        <rFont val="黑体"/>
        <charset val="134"/>
      </rPr>
      <t>啡色流苏包</t>
    </r>
  </si>
  <si>
    <r>
      <rPr>
        <sz val="11"/>
        <rFont val="Times New Roman"/>
        <charset val="134"/>
      </rPr>
      <t>54"</t>
    </r>
    <r>
      <rPr>
        <sz val="11"/>
        <rFont val="黑体"/>
        <charset val="134"/>
      </rPr>
      <t>啡色</t>
    </r>
    <r>
      <rPr>
        <sz val="11"/>
        <rFont val="Times New Roman"/>
        <charset val="134"/>
      </rPr>
      <t>PU/</t>
    </r>
    <r>
      <rPr>
        <sz val="11"/>
        <rFont val="黑体"/>
        <charset val="134"/>
      </rPr>
      <t>同底同色</t>
    </r>
  </si>
  <si>
    <r>
      <rPr>
        <sz val="11"/>
        <rFont val="黑体"/>
        <charset val="134"/>
      </rPr>
      <t>前后片外</t>
    </r>
    <r>
      <rPr>
        <sz val="11"/>
        <rFont val="Times New Roman"/>
        <charset val="134"/>
      </rPr>
      <t>/</t>
    </r>
    <r>
      <rPr>
        <sz val="11"/>
        <rFont val="黑体"/>
        <charset val="134"/>
      </rPr>
      <t>侧边</t>
    </r>
  </si>
  <si>
    <r>
      <rPr>
        <sz val="11"/>
        <rFont val="Times New Roman"/>
        <charset val="134"/>
      </rPr>
      <t>54"</t>
    </r>
    <r>
      <rPr>
        <sz val="11"/>
        <rFont val="黑体"/>
        <charset val="134"/>
      </rPr>
      <t>深棕色</t>
    </r>
    <r>
      <rPr>
        <sz val="11"/>
        <rFont val="Times New Roman"/>
        <charset val="134"/>
      </rPr>
      <t>PU</t>
    </r>
    <r>
      <rPr>
        <sz val="11"/>
        <rFont val="黑体"/>
        <charset val="134"/>
      </rPr>
      <t>皮</t>
    </r>
  </si>
  <si>
    <r>
      <rPr>
        <sz val="11"/>
        <rFont val="黑体"/>
        <charset val="134"/>
      </rPr>
      <t>提手</t>
    </r>
  </si>
  <si>
    <r>
      <rPr>
        <sz val="11"/>
        <rFont val="Times New Roman"/>
        <charset val="134"/>
      </rPr>
      <t>54"</t>
    </r>
    <r>
      <rPr>
        <sz val="11"/>
        <rFont val="黑体"/>
        <charset val="134"/>
      </rPr>
      <t>啡色植绒</t>
    </r>
    <r>
      <rPr>
        <sz val="11"/>
        <rFont val="Times New Roman"/>
        <charset val="134"/>
      </rPr>
      <t>PU</t>
    </r>
  </si>
  <si>
    <r>
      <rPr>
        <sz val="11"/>
        <rFont val="黑体"/>
        <charset val="134"/>
      </rPr>
      <t>流苏</t>
    </r>
  </si>
  <si>
    <r>
      <rPr>
        <sz val="11"/>
        <color theme="1"/>
        <rFont val="Times New Roman"/>
        <charset val="134"/>
      </rPr>
      <t>#10</t>
    </r>
    <r>
      <rPr>
        <sz val="11"/>
        <color theme="1"/>
        <rFont val="黑体"/>
        <charset val="134"/>
      </rPr>
      <t>啡色印花包</t>
    </r>
  </si>
  <si>
    <r>
      <rPr>
        <sz val="11"/>
        <rFont val="Times New Roman"/>
        <charset val="134"/>
      </rPr>
      <t>54"</t>
    </r>
    <r>
      <rPr>
        <sz val="11"/>
        <rFont val="黑体"/>
        <charset val="134"/>
      </rPr>
      <t>加啡色</t>
    </r>
    <r>
      <rPr>
        <sz val="11"/>
        <rFont val="Times New Roman"/>
        <charset val="134"/>
      </rPr>
      <t>PU</t>
    </r>
    <r>
      <rPr>
        <sz val="11"/>
        <rFont val="黑体"/>
        <charset val="134"/>
      </rPr>
      <t>皮</t>
    </r>
  </si>
  <si>
    <r>
      <rPr>
        <sz val="11"/>
        <rFont val="Times New Roman"/>
        <charset val="134"/>
      </rPr>
      <t>54"</t>
    </r>
    <r>
      <rPr>
        <sz val="11"/>
        <rFont val="黑体"/>
        <charset val="134"/>
      </rPr>
      <t>米黄色</t>
    </r>
    <r>
      <rPr>
        <sz val="11"/>
        <rFont val="Times New Roman"/>
        <charset val="134"/>
      </rPr>
      <t>PU</t>
    </r>
  </si>
  <si>
    <r>
      <rPr>
        <sz val="11"/>
        <color theme="1"/>
        <rFont val="Times New Roman"/>
        <charset val="134"/>
      </rPr>
      <t>#11</t>
    </r>
    <r>
      <rPr>
        <sz val="11"/>
        <color theme="1"/>
        <rFont val="黑体"/>
        <charset val="134"/>
      </rPr>
      <t>格子</t>
    </r>
    <r>
      <rPr>
        <sz val="11"/>
        <color theme="1"/>
        <rFont val="Times New Roman"/>
        <charset val="134"/>
      </rPr>
      <t>PU</t>
    </r>
    <r>
      <rPr>
        <sz val="11"/>
        <color theme="1"/>
        <rFont val="黑体"/>
        <charset val="134"/>
      </rPr>
      <t>包包（玫红色）</t>
    </r>
    <r>
      <rPr>
        <sz val="11"/>
        <color rgb="FFFF0000"/>
        <rFont val="Times New Roman"/>
        <charset val="134"/>
      </rPr>
      <t>21pcs PDQ Demo</t>
    </r>
  </si>
  <si>
    <r>
      <rPr>
        <sz val="11"/>
        <rFont val="Times New Roman"/>
        <charset val="134"/>
      </rPr>
      <t>54"</t>
    </r>
    <r>
      <rPr>
        <sz val="11"/>
        <rFont val="黑体"/>
        <charset val="134"/>
      </rPr>
      <t>玫红平面格子</t>
    </r>
    <r>
      <rPr>
        <sz val="11"/>
        <rFont val="Times New Roman"/>
        <charset val="134"/>
      </rPr>
      <t>PU/</t>
    </r>
    <r>
      <rPr>
        <sz val="11"/>
        <rFont val="黑体"/>
        <charset val="134"/>
      </rPr>
      <t>同底同色</t>
    </r>
  </si>
  <si>
    <r>
      <rPr>
        <sz val="11"/>
        <rFont val="黑体"/>
        <charset val="134"/>
      </rPr>
      <t>包前后片</t>
    </r>
  </si>
  <si>
    <r>
      <rPr>
        <sz val="11"/>
        <rFont val="Times New Roman"/>
        <charset val="134"/>
      </rPr>
      <t>54"</t>
    </r>
    <r>
      <rPr>
        <sz val="11"/>
        <rFont val="黑体"/>
        <charset val="134"/>
      </rPr>
      <t>玫红</t>
    </r>
    <r>
      <rPr>
        <sz val="11"/>
        <rFont val="Times New Roman"/>
        <charset val="134"/>
      </rPr>
      <t>PU</t>
    </r>
  </si>
  <si>
    <r>
      <rPr>
        <sz val="11"/>
        <rFont val="黑体"/>
        <charset val="134"/>
      </rPr>
      <t>袋盖</t>
    </r>
    <r>
      <rPr>
        <sz val="11"/>
        <rFont val="Times New Roman"/>
        <charset val="134"/>
      </rPr>
      <t>/</t>
    </r>
    <r>
      <rPr>
        <sz val="11"/>
        <rFont val="黑体"/>
        <charset val="134"/>
      </rPr>
      <t>底边</t>
    </r>
    <r>
      <rPr>
        <sz val="11"/>
        <rFont val="Times New Roman"/>
        <charset val="134"/>
      </rPr>
      <t>/</t>
    </r>
    <r>
      <rPr>
        <sz val="11"/>
        <rFont val="黑体"/>
        <charset val="134"/>
      </rPr>
      <t>提手</t>
    </r>
  </si>
  <si>
    <r>
      <rPr>
        <sz val="11"/>
        <rFont val="黑体"/>
        <charset val="134"/>
      </rPr>
      <t>底纸板</t>
    </r>
  </si>
  <si>
    <r>
      <rPr>
        <sz val="11"/>
        <color theme="1"/>
        <rFont val="Times New Roman"/>
        <charset val="134"/>
      </rPr>
      <t>#12</t>
    </r>
    <r>
      <rPr>
        <sz val="11"/>
        <color theme="1"/>
        <rFont val="黑体"/>
        <charset val="134"/>
      </rPr>
      <t>格子</t>
    </r>
    <r>
      <rPr>
        <sz val="11"/>
        <color theme="1"/>
        <rFont val="Times New Roman"/>
        <charset val="134"/>
      </rPr>
      <t>PU</t>
    </r>
    <r>
      <rPr>
        <sz val="11"/>
        <color theme="1"/>
        <rFont val="黑体"/>
        <charset val="134"/>
      </rPr>
      <t>包包（白色）</t>
    </r>
  </si>
  <si>
    <r>
      <rPr>
        <sz val="11"/>
        <rFont val="Times New Roman"/>
        <charset val="134"/>
      </rPr>
      <t>54"</t>
    </r>
    <r>
      <rPr>
        <sz val="11"/>
        <rFont val="黑体"/>
        <charset val="134"/>
      </rPr>
      <t>白色平面格子</t>
    </r>
    <r>
      <rPr>
        <sz val="11"/>
        <rFont val="Times New Roman"/>
        <charset val="134"/>
      </rPr>
      <t>PU/</t>
    </r>
    <r>
      <rPr>
        <sz val="11"/>
        <rFont val="黑体"/>
        <charset val="134"/>
      </rPr>
      <t>同底同色</t>
    </r>
  </si>
  <si>
    <r>
      <rPr>
        <sz val="11"/>
        <rFont val="Times New Roman"/>
        <charset val="134"/>
      </rPr>
      <t>54"</t>
    </r>
    <r>
      <rPr>
        <sz val="11"/>
        <rFont val="黑体"/>
        <charset val="134"/>
      </rPr>
      <t>白色</t>
    </r>
    <r>
      <rPr>
        <sz val="11"/>
        <rFont val="Times New Roman"/>
        <charset val="134"/>
      </rPr>
      <t>PU</t>
    </r>
  </si>
  <si>
    <r>
      <rPr>
        <sz val="11"/>
        <color theme="1"/>
        <rFont val="Times New Roman"/>
        <charset val="134"/>
      </rPr>
      <t>#13</t>
    </r>
    <r>
      <rPr>
        <sz val="11"/>
        <color theme="1"/>
        <rFont val="黑体"/>
        <charset val="134"/>
      </rPr>
      <t>格子</t>
    </r>
    <r>
      <rPr>
        <sz val="11"/>
        <color theme="1"/>
        <rFont val="Times New Roman"/>
        <charset val="134"/>
      </rPr>
      <t>PU</t>
    </r>
    <r>
      <rPr>
        <sz val="11"/>
        <color theme="1"/>
        <rFont val="黑体"/>
        <charset val="134"/>
      </rPr>
      <t>包包（蓝色）</t>
    </r>
  </si>
  <si>
    <r>
      <rPr>
        <sz val="11"/>
        <rFont val="Times New Roman"/>
        <charset val="134"/>
      </rPr>
      <t>54"</t>
    </r>
    <r>
      <rPr>
        <sz val="11"/>
        <rFont val="黑体"/>
        <charset val="134"/>
      </rPr>
      <t>蓝色平面格子</t>
    </r>
    <r>
      <rPr>
        <sz val="11"/>
        <rFont val="Times New Roman"/>
        <charset val="134"/>
      </rPr>
      <t>PU/</t>
    </r>
    <r>
      <rPr>
        <sz val="11"/>
        <rFont val="黑体"/>
        <charset val="134"/>
      </rPr>
      <t>同底同色</t>
    </r>
  </si>
  <si>
    <r>
      <rPr>
        <sz val="11"/>
        <rFont val="Times New Roman"/>
        <charset val="134"/>
      </rPr>
      <t>54"</t>
    </r>
    <r>
      <rPr>
        <sz val="11"/>
        <rFont val="黑体"/>
        <charset val="134"/>
      </rPr>
      <t>蓝色</t>
    </r>
    <r>
      <rPr>
        <sz val="11"/>
        <rFont val="Times New Roman"/>
        <charset val="134"/>
      </rPr>
      <t>PU</t>
    </r>
  </si>
  <si>
    <r>
      <rPr>
        <sz val="11"/>
        <color theme="1"/>
        <rFont val="Times New Roman"/>
        <charset val="134"/>
      </rPr>
      <t>#14</t>
    </r>
    <r>
      <rPr>
        <sz val="11"/>
        <color theme="1"/>
        <rFont val="黑体"/>
        <charset val="134"/>
      </rPr>
      <t>麻布包包（玫红）</t>
    </r>
  </si>
  <si>
    <r>
      <rPr>
        <sz val="11"/>
        <rFont val="Times New Roman"/>
        <charset val="134"/>
      </rPr>
      <t>54"</t>
    </r>
    <r>
      <rPr>
        <sz val="11"/>
        <rFont val="黑体"/>
        <charset val="134"/>
      </rPr>
      <t>玫红色麻布</t>
    </r>
  </si>
  <si>
    <r>
      <rPr>
        <sz val="11"/>
        <rFont val="黑体"/>
        <charset val="134"/>
      </rPr>
      <t>袋身</t>
    </r>
    <r>
      <rPr>
        <sz val="11"/>
        <rFont val="Times New Roman"/>
        <charset val="134"/>
      </rPr>
      <t>/</t>
    </r>
    <r>
      <rPr>
        <sz val="11"/>
        <rFont val="黑体"/>
        <charset val="134"/>
      </rPr>
      <t>背带</t>
    </r>
  </si>
  <si>
    <r>
      <rPr>
        <sz val="11"/>
        <color theme="1"/>
        <rFont val="Times New Roman"/>
        <charset val="134"/>
      </rPr>
      <t>54"</t>
    </r>
    <r>
      <rPr>
        <sz val="11"/>
        <color theme="1"/>
        <rFont val="黑体"/>
        <charset val="134"/>
      </rPr>
      <t>玫红色</t>
    </r>
    <r>
      <rPr>
        <sz val="11"/>
        <color theme="1"/>
        <rFont val="Times New Roman"/>
        <charset val="134"/>
      </rPr>
      <t>PU/</t>
    </r>
    <r>
      <rPr>
        <sz val="11"/>
        <color theme="1"/>
        <rFont val="黑体"/>
        <charset val="134"/>
      </rPr>
      <t>同底同色</t>
    </r>
  </si>
  <si>
    <r>
      <rPr>
        <sz val="11"/>
        <rFont val="黑体"/>
        <charset val="134"/>
      </rPr>
      <t>袋口边</t>
    </r>
  </si>
  <si>
    <r>
      <rPr>
        <sz val="11"/>
        <rFont val="黑体"/>
        <charset val="134"/>
      </rPr>
      <t>共用</t>
    </r>
    <r>
      <rPr>
        <sz val="11"/>
        <rFont val="Times New Roman"/>
        <charset val="134"/>
      </rPr>
      <t>S2-#21</t>
    </r>
  </si>
  <si>
    <r>
      <rPr>
        <sz val="11"/>
        <rFont val="Times New Roman"/>
        <charset val="134"/>
      </rPr>
      <t>60"</t>
    </r>
    <r>
      <rPr>
        <sz val="11"/>
        <rFont val="黑体"/>
        <charset val="134"/>
      </rPr>
      <t>玫红加密植绒布佳积底</t>
    </r>
  </si>
  <si>
    <r>
      <rPr>
        <sz val="11"/>
        <color theme="1"/>
        <rFont val="黑体"/>
        <charset val="134"/>
      </rPr>
      <t>共用</t>
    </r>
    <r>
      <rPr>
        <sz val="11"/>
        <color theme="1"/>
        <rFont val="Times New Roman"/>
        <charset val="134"/>
      </rPr>
      <t>14#16#, S2--#11#21</t>
    </r>
  </si>
  <si>
    <r>
      <rPr>
        <sz val="11"/>
        <color theme="1"/>
        <rFont val="Times New Roman"/>
        <charset val="134"/>
      </rPr>
      <t>#15</t>
    </r>
    <r>
      <rPr>
        <sz val="11"/>
        <color theme="1"/>
        <rFont val="黑体"/>
        <charset val="134"/>
      </rPr>
      <t>麻布包包（白色）</t>
    </r>
  </si>
  <si>
    <r>
      <rPr>
        <sz val="11"/>
        <rFont val="Times New Roman"/>
        <charset val="134"/>
      </rPr>
      <t>54"</t>
    </r>
    <r>
      <rPr>
        <sz val="11"/>
        <rFont val="黑体"/>
        <charset val="134"/>
      </rPr>
      <t>米白色色麻布</t>
    </r>
  </si>
  <si>
    <r>
      <rPr>
        <sz val="11"/>
        <rFont val="Times New Roman"/>
        <charset val="134"/>
      </rPr>
      <t>60"</t>
    </r>
    <r>
      <rPr>
        <sz val="11"/>
        <rFont val="黑体"/>
        <charset val="134"/>
      </rPr>
      <t>白色加密植绒布佳积底</t>
    </r>
  </si>
  <si>
    <r>
      <rPr>
        <sz val="11"/>
        <color theme="1"/>
        <rFont val="Times New Roman"/>
        <charset val="134"/>
      </rPr>
      <t>#16</t>
    </r>
    <r>
      <rPr>
        <sz val="11"/>
        <color theme="1"/>
        <rFont val="黑体"/>
        <charset val="134"/>
      </rPr>
      <t>灯芯绒包</t>
    </r>
  </si>
  <si>
    <r>
      <rPr>
        <sz val="11"/>
        <rFont val="Times New Roman"/>
        <charset val="134"/>
      </rPr>
      <t>58"</t>
    </r>
    <r>
      <rPr>
        <sz val="11"/>
        <rFont val="黑体"/>
        <charset val="134"/>
      </rPr>
      <t>啡色灯芯绒</t>
    </r>
  </si>
  <si>
    <r>
      <rPr>
        <sz val="11"/>
        <rFont val="黑体"/>
        <charset val="134"/>
      </rPr>
      <t>袋身</t>
    </r>
    <r>
      <rPr>
        <sz val="11"/>
        <rFont val="Times New Roman"/>
        <charset val="134"/>
      </rPr>
      <t>/</t>
    </r>
    <r>
      <rPr>
        <sz val="11"/>
        <rFont val="黑体"/>
        <charset val="134"/>
      </rPr>
      <t>袋侧</t>
    </r>
  </si>
  <si>
    <r>
      <rPr>
        <sz val="11"/>
        <rFont val="黑体"/>
        <charset val="134"/>
      </rPr>
      <t>内里</t>
    </r>
  </si>
  <si>
    <r>
      <rPr>
        <sz val="11"/>
        <color theme="1"/>
        <rFont val="黑体"/>
        <charset val="134"/>
      </rPr>
      <t>共用</t>
    </r>
    <r>
      <rPr>
        <sz val="11"/>
        <color theme="1"/>
        <rFont val="Times New Roman"/>
        <charset val="134"/>
      </rPr>
      <t>S2-#21</t>
    </r>
  </si>
  <si>
    <r>
      <rPr>
        <sz val="11"/>
        <color theme="1"/>
        <rFont val="Times New Roman"/>
        <charset val="134"/>
      </rPr>
      <t>#17</t>
    </r>
    <r>
      <rPr>
        <sz val="11"/>
        <color theme="1"/>
        <rFont val="黑体"/>
        <charset val="134"/>
      </rPr>
      <t>油漆桶（粉色）</t>
    </r>
  </si>
  <si>
    <r>
      <rPr>
        <sz val="11"/>
        <color theme="1"/>
        <rFont val="Times New Roman"/>
        <charset val="134"/>
      </rPr>
      <t>54"</t>
    </r>
    <r>
      <rPr>
        <sz val="11"/>
        <color theme="1"/>
        <rFont val="黑体"/>
        <charset val="134"/>
      </rPr>
      <t>白色</t>
    </r>
    <r>
      <rPr>
        <sz val="11"/>
        <color theme="1"/>
        <rFont val="Times New Roman"/>
        <charset val="134"/>
      </rPr>
      <t>PU</t>
    </r>
    <r>
      <rPr>
        <sz val="11"/>
        <color theme="1"/>
        <rFont val="黑体"/>
        <charset val="134"/>
      </rPr>
      <t>丝印花（粉）</t>
    </r>
  </si>
  <si>
    <r>
      <rPr>
        <sz val="11"/>
        <rFont val="黑体"/>
        <charset val="134"/>
      </rPr>
      <t>袋身</t>
    </r>
    <r>
      <rPr>
        <sz val="11"/>
        <rFont val="Times New Roman"/>
        <charset val="134"/>
      </rPr>
      <t>/</t>
    </r>
    <r>
      <rPr>
        <sz val="11"/>
        <rFont val="黑体"/>
        <charset val="134"/>
      </rPr>
      <t>提手</t>
    </r>
  </si>
  <si>
    <r>
      <rPr>
        <sz val="11"/>
        <color theme="1"/>
        <rFont val="Times New Roman"/>
        <charset val="134"/>
      </rPr>
      <t>#18</t>
    </r>
    <r>
      <rPr>
        <sz val="11"/>
        <color theme="1"/>
        <rFont val="黑体"/>
        <charset val="134"/>
      </rPr>
      <t>油漆桶（蓝色）</t>
    </r>
  </si>
  <si>
    <r>
      <rPr>
        <sz val="11"/>
        <rFont val="Times New Roman"/>
        <charset val="134"/>
      </rPr>
      <t>54"</t>
    </r>
    <r>
      <rPr>
        <sz val="11"/>
        <rFont val="黑体"/>
        <charset val="134"/>
      </rPr>
      <t>白色</t>
    </r>
    <r>
      <rPr>
        <sz val="11"/>
        <rFont val="Times New Roman"/>
        <charset val="134"/>
      </rPr>
      <t>PU</t>
    </r>
    <r>
      <rPr>
        <sz val="11"/>
        <rFont val="黑体"/>
        <charset val="134"/>
      </rPr>
      <t>丝印花（蓝）</t>
    </r>
  </si>
  <si>
    <t>1#黑色贝雷帽</t>
  </si>
  <si>
    <r>
      <rPr>
        <sz val="11"/>
        <rFont val="Times New Roman"/>
        <charset val="134"/>
      </rPr>
      <t>54"</t>
    </r>
    <r>
      <rPr>
        <sz val="11"/>
        <rFont val="黑体"/>
        <charset val="134"/>
      </rPr>
      <t>黑色</t>
    </r>
    <r>
      <rPr>
        <sz val="11"/>
        <rFont val="Times New Roman"/>
        <charset val="134"/>
      </rPr>
      <t>PU</t>
    </r>
    <r>
      <rPr>
        <sz val="11"/>
        <rFont val="黑体"/>
        <charset val="134"/>
      </rPr>
      <t>皮绿色佳积布底</t>
    </r>
  </si>
  <si>
    <r>
      <rPr>
        <sz val="11"/>
        <color theme="1"/>
        <rFont val="黑体"/>
        <charset val="134"/>
      </rPr>
      <t>帽身</t>
    </r>
  </si>
  <si>
    <r>
      <rPr>
        <sz val="11"/>
        <rFont val="Times New Roman"/>
        <charset val="134"/>
      </rPr>
      <t>2MM</t>
    </r>
    <r>
      <rPr>
        <sz val="11"/>
        <rFont val="黑体"/>
        <charset val="134"/>
      </rPr>
      <t>宽黑色</t>
    </r>
    <r>
      <rPr>
        <sz val="11"/>
        <rFont val="Times New Roman"/>
        <charset val="134"/>
      </rPr>
      <t>PU</t>
    </r>
    <r>
      <rPr>
        <sz val="11"/>
        <rFont val="黑体"/>
        <charset val="134"/>
      </rPr>
      <t>绳带</t>
    </r>
  </si>
  <si>
    <r>
      <rPr>
        <sz val="11"/>
        <color theme="1"/>
        <rFont val="黑体"/>
        <charset val="134"/>
      </rPr>
      <t>帽顶</t>
    </r>
  </si>
  <si>
    <r>
      <rPr>
        <sz val="11"/>
        <rFont val="黑体"/>
        <charset val="134"/>
      </rPr>
      <t>塑胶包包（里面有布袋）</t>
    </r>
  </si>
  <si>
    <r>
      <rPr>
        <sz val="11"/>
        <rFont val="Times New Roman"/>
        <charset val="134"/>
      </rPr>
      <t>#19</t>
    </r>
    <r>
      <rPr>
        <sz val="11"/>
        <rFont val="黑体"/>
        <charset val="134"/>
      </rPr>
      <t>塑胶包包</t>
    </r>
  </si>
  <si>
    <r>
      <rPr>
        <sz val="11"/>
        <rFont val="Times New Roman"/>
        <charset val="134"/>
      </rPr>
      <t>#20</t>
    </r>
    <r>
      <rPr>
        <sz val="11"/>
        <rFont val="黑体"/>
        <charset val="134"/>
      </rPr>
      <t>塑胶包包</t>
    </r>
  </si>
  <si>
    <r>
      <rPr>
        <sz val="11"/>
        <rFont val="Times New Roman"/>
        <charset val="134"/>
      </rPr>
      <t>#21</t>
    </r>
    <r>
      <rPr>
        <sz val="11"/>
        <rFont val="黑体"/>
        <charset val="134"/>
      </rPr>
      <t>塑胶包包</t>
    </r>
  </si>
  <si>
    <r>
      <rPr>
        <sz val="11"/>
        <color theme="1"/>
        <rFont val="Times New Roman"/>
        <charset val="134"/>
      </rPr>
      <t>#1</t>
    </r>
    <r>
      <rPr>
        <sz val="11"/>
        <color theme="1"/>
        <rFont val="宋体"/>
        <charset val="134"/>
      </rPr>
      <t>红色蝴蝶结鞋</t>
    </r>
    <r>
      <rPr>
        <sz val="11"/>
        <color theme="1"/>
        <rFont val="Times New Roman"/>
        <charset val="134"/>
      </rPr>
      <t>1</t>
    </r>
    <r>
      <rPr>
        <sz val="11"/>
        <color theme="1"/>
        <rFont val="宋体"/>
        <charset val="134"/>
      </rPr>
      <t>对</t>
    </r>
  </si>
  <si>
    <t>#1红色蝴蝶结鞋1对</t>
  </si>
  <si>
    <t>跟/前鞋带</t>
  </si>
  <si>
    <t>40天</t>
  </si>
  <si>
    <r>
      <rPr>
        <sz val="11"/>
        <color theme="1"/>
        <rFont val="Times New Roman"/>
        <charset val="134"/>
      </rPr>
      <t>#2</t>
    </r>
    <r>
      <rPr>
        <sz val="11"/>
        <color theme="1"/>
        <rFont val="宋体"/>
        <charset val="134"/>
      </rPr>
      <t>黑色网纱鞋一对</t>
    </r>
    <r>
      <rPr>
        <sz val="11"/>
        <color theme="1"/>
        <rFont val="Times New Roman"/>
        <charset val="134"/>
      </rPr>
      <t xml:space="preserve">  </t>
    </r>
  </si>
  <si>
    <t>58"黑色色丁布过胶两层底对贴</t>
  </si>
  <si>
    <t>鞋面/鞋后跟</t>
  </si>
  <si>
    <t>58"黑色细菱形网</t>
  </si>
  <si>
    <t>鞋网布</t>
  </si>
  <si>
    <r>
      <rPr>
        <sz val="11"/>
        <color theme="1"/>
        <rFont val="Times New Roman"/>
        <charset val="134"/>
      </rPr>
      <t>#3</t>
    </r>
    <r>
      <rPr>
        <sz val="11"/>
        <color theme="1"/>
        <rFont val="宋体"/>
        <charset val="134"/>
      </rPr>
      <t>蓝色羽毛鞋一对</t>
    </r>
    <r>
      <rPr>
        <sz val="11"/>
        <color theme="1"/>
        <rFont val="Times New Roman"/>
        <charset val="134"/>
      </rPr>
      <t xml:space="preserve">  </t>
    </r>
  </si>
  <si>
    <t>54"0.3MM蓝色透明TPU</t>
  </si>
  <si>
    <t>鞋带/鞋后跟</t>
  </si>
  <si>
    <r>
      <rPr>
        <sz val="11"/>
        <color theme="1"/>
        <rFont val="Times New Roman"/>
        <charset val="134"/>
      </rPr>
      <t>#4</t>
    </r>
    <r>
      <rPr>
        <sz val="11"/>
        <color theme="1"/>
        <rFont val="宋体"/>
        <charset val="134"/>
      </rPr>
      <t>粉色铆钉鞋</t>
    </r>
    <r>
      <rPr>
        <sz val="11"/>
        <color theme="1"/>
        <rFont val="Times New Roman"/>
        <charset val="134"/>
      </rPr>
      <t>1</t>
    </r>
    <r>
      <rPr>
        <sz val="11"/>
        <color theme="1"/>
        <rFont val="宋体"/>
        <charset val="134"/>
      </rPr>
      <t>对</t>
    </r>
  </si>
  <si>
    <t>54"粉色亮光PU</t>
  </si>
  <si>
    <t>鞋面</t>
  </si>
  <si>
    <r>
      <rPr>
        <sz val="11"/>
        <color theme="1"/>
        <rFont val="Times New Roman"/>
        <charset val="134"/>
      </rPr>
      <t xml:space="preserve">#5 </t>
    </r>
    <r>
      <rPr>
        <sz val="11"/>
        <color theme="1"/>
        <rFont val="宋体"/>
        <charset val="134"/>
      </rPr>
      <t>橙色梭跟鞋一对</t>
    </r>
    <r>
      <rPr>
        <sz val="11"/>
        <color theme="1"/>
        <rFont val="Times New Roman"/>
        <charset val="134"/>
      </rPr>
      <t xml:space="preserve"> </t>
    </r>
  </si>
  <si>
    <t>54"橙色PU T/C底布</t>
  </si>
  <si>
    <t>鞋面/后跟</t>
  </si>
  <si>
    <r>
      <rPr>
        <sz val="11"/>
        <color theme="1"/>
        <rFont val="Times New Roman"/>
        <charset val="134"/>
      </rPr>
      <t xml:space="preserve">#6 </t>
    </r>
    <r>
      <rPr>
        <sz val="11"/>
        <color theme="1"/>
        <rFont val="宋体"/>
        <charset val="134"/>
      </rPr>
      <t>荧光粉植绒拖鞋一对</t>
    </r>
    <r>
      <rPr>
        <sz val="11"/>
        <color theme="1"/>
        <rFont val="Times New Roman"/>
        <charset val="134"/>
      </rPr>
      <t xml:space="preserve"> </t>
    </r>
  </si>
  <si>
    <t>塑胶外发植绒</t>
  </si>
  <si>
    <r>
      <rPr>
        <sz val="11"/>
        <color theme="1"/>
        <rFont val="宋体"/>
        <charset val="134"/>
      </rPr>
      <t>植绒</t>
    </r>
    <r>
      <rPr>
        <sz val="11"/>
        <color theme="1"/>
        <rFont val="Times New Roman"/>
        <charset val="134"/>
      </rPr>
      <t>LT</t>
    </r>
    <r>
      <rPr>
        <sz val="11"/>
        <color theme="1"/>
        <rFont val="宋体"/>
        <charset val="134"/>
      </rPr>
      <t>，工厂确认</t>
    </r>
    <r>
      <rPr>
        <sz val="11"/>
        <color theme="1"/>
        <rFont val="Times New Roman"/>
        <charset val="134"/>
      </rPr>
      <t>MA-1112</t>
    </r>
    <r>
      <rPr>
        <sz val="11"/>
        <color theme="1"/>
        <rFont val="宋体"/>
        <charset val="134"/>
      </rPr>
      <t>数量不足</t>
    </r>
    <r>
      <rPr>
        <sz val="11"/>
        <color theme="1"/>
        <rFont val="Times New Roman"/>
        <charset val="134"/>
      </rPr>
      <t>MOQ</t>
    </r>
    <r>
      <rPr>
        <sz val="11"/>
        <color theme="1"/>
        <rFont val="宋体"/>
        <charset val="134"/>
      </rPr>
      <t>可以接受</t>
    </r>
  </si>
  <si>
    <r>
      <rPr>
        <sz val="11"/>
        <color theme="1"/>
        <rFont val="Times New Roman"/>
        <charset val="134"/>
      </rPr>
      <t>#8</t>
    </r>
    <r>
      <rPr>
        <sz val="11"/>
        <color theme="1"/>
        <rFont val="宋体"/>
        <charset val="134"/>
      </rPr>
      <t>大红羽绒鞋</t>
    </r>
    <r>
      <rPr>
        <sz val="11"/>
        <color theme="1"/>
        <rFont val="Times New Roman"/>
        <charset val="134"/>
      </rPr>
      <t>1</t>
    </r>
    <r>
      <rPr>
        <sz val="11"/>
        <color theme="1"/>
        <rFont val="宋体"/>
        <charset val="134"/>
      </rPr>
      <t>对</t>
    </r>
  </si>
  <si>
    <r>
      <rPr>
        <sz val="11"/>
        <rFont val="Times New Roman"/>
        <charset val="134"/>
      </rPr>
      <t>54"</t>
    </r>
    <r>
      <rPr>
        <sz val="11"/>
        <rFont val="宋体"/>
        <charset val="134"/>
      </rPr>
      <t>红色</t>
    </r>
    <r>
      <rPr>
        <sz val="11"/>
        <rFont val="Times New Roman"/>
        <charset val="134"/>
      </rPr>
      <t>PU/</t>
    </r>
    <r>
      <rPr>
        <sz val="11"/>
        <rFont val="宋体"/>
        <charset val="134"/>
      </rPr>
      <t>同底同色</t>
    </r>
  </si>
  <si>
    <t>鞋筒/鞋面</t>
  </si>
  <si>
    <t>共用RARE/#6-S2#4</t>
  </si>
  <si>
    <t>60"红色加密植绒布佳积底</t>
  </si>
  <si>
    <t>内里</t>
  </si>
  <si>
    <t>全套辅料</t>
  </si>
  <si>
    <r>
      <rPr>
        <sz val="11"/>
        <color theme="1"/>
        <rFont val="Times New Roman"/>
        <charset val="134"/>
      </rPr>
      <t>#10</t>
    </r>
    <r>
      <rPr>
        <sz val="11"/>
        <color theme="1"/>
        <rFont val="宋体"/>
        <charset val="134"/>
      </rPr>
      <t>绿底踝鞋</t>
    </r>
    <r>
      <rPr>
        <sz val="11"/>
        <color theme="1"/>
        <rFont val="Times New Roman"/>
        <charset val="134"/>
      </rPr>
      <t>1</t>
    </r>
    <r>
      <rPr>
        <sz val="11"/>
        <color theme="1"/>
        <rFont val="宋体"/>
        <charset val="134"/>
      </rPr>
      <t>对</t>
    </r>
  </si>
  <si>
    <r>
      <rPr>
        <sz val="11"/>
        <rFont val="Times New Roman"/>
        <charset val="134"/>
      </rPr>
      <t>54"</t>
    </r>
    <r>
      <rPr>
        <sz val="11"/>
        <rFont val="宋体"/>
        <charset val="134"/>
      </rPr>
      <t>黑色</t>
    </r>
    <r>
      <rPr>
        <sz val="11"/>
        <rFont val="Times New Roman"/>
        <charset val="134"/>
      </rPr>
      <t>PU T/C</t>
    </r>
    <r>
      <rPr>
        <sz val="11"/>
        <rFont val="宋体"/>
        <charset val="134"/>
      </rPr>
      <t>布底</t>
    </r>
  </si>
  <si>
    <t>鞋面/鞋头</t>
  </si>
  <si>
    <r>
      <rPr>
        <sz val="11"/>
        <color theme="1"/>
        <rFont val="Times New Roman"/>
        <charset val="134"/>
      </rPr>
      <t>#11</t>
    </r>
    <r>
      <rPr>
        <sz val="11"/>
        <color theme="1"/>
        <rFont val="宋体"/>
        <charset val="134"/>
      </rPr>
      <t>裸色踝鞋一对</t>
    </r>
    <r>
      <rPr>
        <sz val="11"/>
        <color theme="1"/>
        <rFont val="Times New Roman"/>
        <charset val="134"/>
      </rPr>
      <t xml:space="preserve">   </t>
    </r>
  </si>
  <si>
    <t>54"杏色PU弹力佳绩布底</t>
  </si>
  <si>
    <t>鞋筒</t>
  </si>
  <si>
    <r>
      <rPr>
        <sz val="11"/>
        <color theme="1"/>
        <rFont val="Times New Roman"/>
        <charset val="134"/>
      </rPr>
      <t>#12</t>
    </r>
    <r>
      <rPr>
        <sz val="11"/>
        <color theme="1"/>
        <rFont val="宋体"/>
        <charset val="134"/>
      </rPr>
      <t>黑色长鞋一对</t>
    </r>
    <r>
      <rPr>
        <sz val="11"/>
        <color theme="1"/>
        <rFont val="Times New Roman"/>
        <charset val="134"/>
      </rPr>
      <t xml:space="preserve">  </t>
    </r>
  </si>
  <si>
    <t>鞋面/鞋筒</t>
  </si>
  <si>
    <r>
      <rPr>
        <sz val="11"/>
        <color theme="1"/>
        <rFont val="Times New Roman"/>
        <charset val="134"/>
      </rPr>
      <t>#13</t>
    </r>
    <r>
      <rPr>
        <sz val="11"/>
        <color theme="1"/>
        <rFont val="宋体"/>
        <charset val="134"/>
      </rPr>
      <t>棕色长靴</t>
    </r>
    <r>
      <rPr>
        <sz val="11"/>
        <color theme="1"/>
        <rFont val="Times New Roman"/>
        <charset val="134"/>
      </rPr>
      <t>1</t>
    </r>
    <r>
      <rPr>
        <sz val="11"/>
        <color theme="1"/>
        <rFont val="宋体"/>
        <charset val="134"/>
      </rPr>
      <t>对</t>
    </r>
  </si>
  <si>
    <t>54"啡色PU</t>
  </si>
  <si>
    <r>
      <rPr>
        <sz val="11"/>
        <color theme="1"/>
        <rFont val="Times New Roman"/>
        <charset val="134"/>
      </rPr>
      <t xml:space="preserve">RARE </t>
    </r>
    <r>
      <rPr>
        <sz val="11"/>
        <color theme="1"/>
        <rFont val="宋体"/>
        <charset val="134"/>
      </rPr>
      <t>银色流苏鞋一对</t>
    </r>
    <r>
      <rPr>
        <sz val="11"/>
        <color theme="1"/>
        <rFont val="Times New Roman"/>
        <charset val="134"/>
      </rPr>
      <t xml:space="preserve">  </t>
    </r>
  </si>
  <si>
    <t>54"银色巴黎之星T/C底布</t>
  </si>
  <si>
    <t>待定是否换材料</t>
  </si>
  <si>
    <t>Sum</t>
  </si>
  <si>
    <t>可生产球数</t>
  </si>
  <si>
    <t>PDQ Demo 21pcs</t>
  </si>
  <si>
    <r>
      <rPr>
        <b/>
        <sz val="11"/>
        <color theme="0"/>
        <rFont val="Times New Roman"/>
        <charset val="134"/>
      </rPr>
      <t>SK Demo(</t>
    </r>
    <r>
      <rPr>
        <b/>
        <sz val="11"/>
        <color theme="0"/>
        <rFont val="宋体"/>
        <charset val="134"/>
      </rPr>
      <t>不带鞋子）</t>
    </r>
  </si>
  <si>
    <r>
      <rPr>
        <sz val="11"/>
        <color theme="1"/>
        <rFont val="宋体"/>
        <charset val="134"/>
      </rPr>
      <t>除去半成品</t>
    </r>
    <r>
      <rPr>
        <sz val="11"/>
        <color theme="1"/>
        <rFont val="Times New Roman"/>
        <charset val="134"/>
      </rPr>
      <t>MA</t>
    </r>
    <r>
      <rPr>
        <sz val="11"/>
        <color theme="1"/>
        <rFont val="宋体"/>
        <charset val="134"/>
      </rPr>
      <t>剩余数</t>
    </r>
  </si>
  <si>
    <t>除去实单MA剩余数</t>
  </si>
  <si>
    <t>Damand FCST by 2025-3-12</t>
  </si>
  <si>
    <t>(US:413K NON-US:420K)</t>
  </si>
  <si>
    <t>MA-RR-1630</t>
  </si>
  <si>
    <t>MA-RR-1813</t>
  </si>
  <si>
    <t>MA-RR-1891</t>
  </si>
  <si>
    <r>
      <rPr>
        <b/>
        <sz val="11"/>
        <color rgb="FFFFFF00"/>
        <rFont val="宋体"/>
        <charset val="134"/>
      </rPr>
      <t>扣除半成品</t>
    </r>
    <r>
      <rPr>
        <b/>
        <sz val="11"/>
        <color rgb="FFFFFF00"/>
        <rFont val="Times New Roman"/>
        <charset val="134"/>
      </rPr>
      <t>MA</t>
    </r>
    <r>
      <rPr>
        <b/>
        <sz val="11"/>
        <color rgb="FFFFFF00"/>
        <rFont val="宋体"/>
        <charset val="134"/>
      </rPr>
      <t>剩余数</t>
    </r>
  </si>
  <si>
    <t>扣除已接实单剩余数</t>
  </si>
  <si>
    <t>MA</t>
  </si>
  <si>
    <t>Ratio</t>
  </si>
  <si>
    <r>
      <rPr>
        <b/>
        <sz val="11"/>
        <color theme="0"/>
        <rFont val="黑体"/>
        <charset val="134"/>
      </rPr>
      <t>布料名称</t>
    </r>
  </si>
  <si>
    <r>
      <rPr>
        <b/>
        <sz val="11"/>
        <color theme="0"/>
        <rFont val="Times New Roman"/>
        <charset val="134"/>
      </rPr>
      <t>MOQ</t>
    </r>
    <r>
      <rPr>
        <b/>
        <sz val="11"/>
        <color theme="0"/>
        <rFont val="黑体"/>
        <charset val="134"/>
      </rPr>
      <t>生产量</t>
    </r>
    <r>
      <rPr>
        <b/>
        <sz val="11"/>
        <color theme="0"/>
        <rFont val="宋体"/>
        <charset val="134"/>
      </rPr>
      <t>（球）</t>
    </r>
  </si>
  <si>
    <t>共用比例</t>
  </si>
  <si>
    <r>
      <rPr>
        <b/>
        <sz val="11"/>
        <color theme="0"/>
        <rFont val="宋体"/>
        <charset val="134"/>
      </rPr>
      <t>放订</t>
    </r>
    <r>
      <rPr>
        <b/>
        <sz val="11"/>
        <color theme="0"/>
        <rFont val="Times New Roman"/>
        <charset val="134"/>
      </rPr>
      <t>MA</t>
    </r>
    <r>
      <rPr>
        <b/>
        <sz val="11"/>
        <color theme="0"/>
        <rFont val="宋体"/>
        <charset val="134"/>
      </rPr>
      <t>所需包</t>
    </r>
    <r>
      <rPr>
        <b/>
        <sz val="11"/>
        <color theme="0"/>
        <rFont val="Times New Roman"/>
        <charset val="134"/>
      </rPr>
      <t>/</t>
    </r>
    <r>
      <rPr>
        <b/>
        <sz val="11"/>
        <color theme="0"/>
        <rFont val="宋体"/>
        <charset val="134"/>
      </rPr>
      <t>帽子</t>
    </r>
    <r>
      <rPr>
        <b/>
        <sz val="11"/>
        <color theme="0"/>
        <rFont val="Times New Roman"/>
        <charset val="134"/>
      </rPr>
      <t>/</t>
    </r>
    <r>
      <rPr>
        <b/>
        <sz val="11"/>
        <color theme="0"/>
        <rFont val="宋体"/>
        <charset val="134"/>
      </rPr>
      <t>鞋子数（球</t>
    </r>
    <r>
      <rPr>
        <b/>
        <sz val="11"/>
        <color theme="0"/>
        <rFont val="Times New Roman"/>
        <charset val="134"/>
      </rPr>
      <t>+DEMO)</t>
    </r>
  </si>
  <si>
    <r>
      <rPr>
        <b/>
        <sz val="11"/>
        <color rgb="FFFFFF00"/>
        <rFont val="黑体"/>
        <charset val="134"/>
      </rPr>
      <t>生产</t>
    </r>
    <r>
      <rPr>
        <b/>
        <sz val="11"/>
        <color rgb="FFFFFF00"/>
        <rFont val="Times New Roman"/>
        <charset val="134"/>
      </rPr>
      <t>MA</t>
    </r>
    <r>
      <rPr>
        <b/>
        <sz val="11"/>
        <color rgb="FFFFFF00"/>
        <rFont val="黑体"/>
        <charset val="134"/>
      </rPr>
      <t>包包所需布料数</t>
    </r>
  </si>
  <si>
    <t>布料结余</t>
  </si>
  <si>
    <r>
      <rPr>
        <b/>
        <sz val="11"/>
        <rFont val="Times New Roman"/>
        <charset val="134"/>
      </rPr>
      <t>25pcs Demo (#2</t>
    </r>
    <r>
      <rPr>
        <b/>
        <sz val="11"/>
        <rFont val="宋体"/>
        <charset val="134"/>
      </rPr>
      <t>包</t>
    </r>
    <r>
      <rPr>
        <b/>
        <sz val="11"/>
        <rFont val="Times New Roman"/>
        <charset val="134"/>
      </rPr>
      <t>+#7</t>
    </r>
    <r>
      <rPr>
        <b/>
        <sz val="11"/>
        <rFont val="宋体"/>
        <charset val="134"/>
      </rPr>
      <t>包</t>
    </r>
    <r>
      <rPr>
        <b/>
        <sz val="11"/>
        <rFont val="Times New Roman"/>
        <charset val="134"/>
      </rPr>
      <t>+#11</t>
    </r>
    <r>
      <rPr>
        <b/>
        <sz val="11"/>
        <rFont val="宋体"/>
        <charset val="134"/>
      </rPr>
      <t>包</t>
    </r>
    <r>
      <rPr>
        <b/>
        <sz val="11"/>
        <rFont val="Times New Roman"/>
        <charset val="134"/>
      </rPr>
      <t>+#9</t>
    </r>
    <r>
      <rPr>
        <b/>
        <sz val="11"/>
        <rFont val="宋体"/>
        <charset val="134"/>
      </rPr>
      <t>鞋</t>
    </r>
    <r>
      <rPr>
        <b/>
        <sz val="11"/>
        <rFont val="Times New Roman"/>
        <charset val="134"/>
      </rPr>
      <t>)</t>
    </r>
  </si>
  <si>
    <r>
      <rPr>
        <b/>
        <sz val="11"/>
        <rFont val="Times New Roman"/>
        <charset val="134"/>
      </rPr>
      <t>30 SK1 Demo (#13</t>
    </r>
    <r>
      <rPr>
        <b/>
        <sz val="11"/>
        <rFont val="宋体"/>
        <charset val="134"/>
      </rPr>
      <t>包</t>
    </r>
    <r>
      <rPr>
        <b/>
        <sz val="11"/>
        <rFont val="Times New Roman"/>
        <charset val="134"/>
      </rPr>
      <t>+#9</t>
    </r>
    <r>
      <rPr>
        <b/>
        <sz val="11"/>
        <rFont val="宋体"/>
        <charset val="134"/>
      </rPr>
      <t>鞋</t>
    </r>
    <r>
      <rPr>
        <b/>
        <sz val="11"/>
        <rFont val="Times New Roman"/>
        <charset val="134"/>
      </rPr>
      <t>+#40</t>
    </r>
    <r>
      <rPr>
        <b/>
        <sz val="11"/>
        <rFont val="宋体"/>
        <charset val="134"/>
      </rPr>
      <t>配件</t>
    </r>
    <r>
      <rPr>
        <b/>
        <sz val="11"/>
        <rFont val="Times New Roman"/>
        <charset val="134"/>
      </rPr>
      <t>+</t>
    </r>
    <r>
      <rPr>
        <b/>
        <sz val="11"/>
        <rFont val="宋体"/>
        <charset val="134"/>
      </rPr>
      <t>？</t>
    </r>
    <r>
      <rPr>
        <b/>
        <sz val="11"/>
        <rFont val="Times New Roman"/>
        <charset val="134"/>
      </rPr>
      <t>)</t>
    </r>
  </si>
  <si>
    <r>
      <rPr>
        <b/>
        <sz val="11"/>
        <rFont val="Times New Roman"/>
        <charset val="134"/>
      </rPr>
      <t>60 SK Demo (#13</t>
    </r>
    <r>
      <rPr>
        <b/>
        <sz val="11"/>
        <rFont val="宋体"/>
        <charset val="134"/>
      </rPr>
      <t>包</t>
    </r>
    <r>
      <rPr>
        <b/>
        <sz val="11"/>
        <rFont val="Times New Roman"/>
        <charset val="134"/>
      </rPr>
      <t>+#9</t>
    </r>
    <r>
      <rPr>
        <b/>
        <sz val="11"/>
        <rFont val="宋体"/>
        <charset val="134"/>
      </rPr>
      <t>鞋</t>
    </r>
    <r>
      <rPr>
        <b/>
        <sz val="11"/>
        <rFont val="Times New Roman"/>
        <charset val="134"/>
      </rPr>
      <t>+#40</t>
    </r>
    <r>
      <rPr>
        <b/>
        <sz val="11"/>
        <rFont val="宋体"/>
        <charset val="134"/>
      </rPr>
      <t>配件</t>
    </r>
    <r>
      <rPr>
        <b/>
        <sz val="11"/>
        <rFont val="Times New Roman"/>
        <charset val="134"/>
      </rPr>
      <t>+</t>
    </r>
    <r>
      <rPr>
        <b/>
        <sz val="11"/>
        <rFont val="宋体"/>
        <charset val="134"/>
      </rPr>
      <t>？</t>
    </r>
    <r>
      <rPr>
        <b/>
        <sz val="11"/>
        <rFont val="Times New Roman"/>
        <charset val="134"/>
      </rPr>
      <t>)</t>
    </r>
  </si>
  <si>
    <t>#1 玫红包包</t>
  </si>
  <si>
    <t>玫红色PU皮佳绩布底（底同面色）</t>
  </si>
  <si>
    <t>包身</t>
  </si>
  <si>
    <r>
      <rPr>
        <sz val="10"/>
        <color theme="1"/>
        <rFont val="Times New Roman"/>
        <charset val="134"/>
      </rPr>
      <t>35</t>
    </r>
    <r>
      <rPr>
        <sz val="10"/>
        <color theme="1"/>
        <rFont val="黑体"/>
        <charset val="134"/>
      </rPr>
      <t>天</t>
    </r>
  </si>
  <si>
    <t>袋侧</t>
  </si>
  <si>
    <t>袋底/手提贴</t>
  </si>
  <si>
    <t>蓝色PU佳绩布底（底同面色）</t>
  </si>
  <si>
    <t>外袋</t>
  </si>
  <si>
    <t>手/脚</t>
  </si>
  <si>
    <t>#2浅蓝色印心形及MF字母包</t>
  </si>
  <si>
    <t>白色PU皮</t>
  </si>
  <si>
    <t>袋身/长方扣/右侧半圆扣/</t>
  </si>
  <si>
    <t>35天</t>
  </si>
  <si>
    <t>包#2 #4 #13 #22
鞋#10 共用</t>
  </si>
  <si>
    <t>白色PU皮（同底面色）</t>
  </si>
  <si>
    <t>袋吊牌</t>
  </si>
  <si>
    <t>皮带/皮带扣</t>
  </si>
  <si>
    <t>白/灰纸板</t>
  </si>
  <si>
    <t>底纸皮裁片</t>
  </si>
  <si>
    <t>包 #2 #7 #13 #15 #17 #18 #21 #22 共用</t>
  </si>
  <si>
    <t>#3西瓜红包包</t>
  </si>
  <si>
    <t>玫红色PU皮A（同底面色）</t>
  </si>
  <si>
    <t>袋</t>
  </si>
  <si>
    <t>侧袋</t>
  </si>
  <si>
    <t>背带</t>
  </si>
  <si>
    <t>#4黑绿色蛇皮包</t>
  </si>
  <si>
    <t>前袋/后袋</t>
  </si>
  <si>
    <t>袋底</t>
  </si>
  <si>
    <t>手帶</t>
  </si>
  <si>
    <t>带</t>
  </si>
  <si>
    <t>#5绿色格子包</t>
  </si>
  <si>
    <t>绿色压格子PU皮</t>
  </si>
  <si>
    <t>前袋/扣</t>
  </si>
  <si>
    <t>底/后袋</t>
  </si>
  <si>
    <t>绿色过胶色丁布</t>
  </si>
  <si>
    <t>#6花朵包</t>
  </si>
  <si>
    <t>全塑胶包包</t>
  </si>
  <si>
    <t>#7玫红色花包 rare</t>
  </si>
  <si>
    <t>玫红色过胶色丁布</t>
  </si>
  <si>
    <t>底内寸</t>
  </si>
  <si>
    <t>花辨</t>
  </si>
  <si>
    <t>#8紫色亮皮包</t>
  </si>
  <si>
    <t>淡紫幻彩PU皮(底同面色)</t>
  </si>
  <si>
    <t>包身/前片</t>
  </si>
  <si>
    <t>侧边</t>
  </si>
  <si>
    <t>蝴蝶结</t>
  </si>
  <si>
    <t>#9金色胶件框包</t>
  </si>
  <si>
    <t>#10心形M字包</t>
  </si>
  <si>
    <t>#11黑色饺子包</t>
  </si>
  <si>
    <t>黑色有光PU佳绩布底</t>
  </si>
  <si>
    <t>前后包身</t>
  </si>
  <si>
    <t>包#11 #17 共用</t>
  </si>
  <si>
    <t>#12西瓜红斜跨包</t>
  </si>
  <si>
    <t>西瓜红PU佳绩布底</t>
  </si>
  <si>
    <t>前后包身/侧边</t>
  </si>
  <si>
    <t>#13千鸟格包</t>
  </si>
  <si>
    <t>提手</t>
  </si>
  <si>
    <t>底纸板</t>
  </si>
  <si>
    <t xml:space="preserve">#14银色包 </t>
  </si>
  <si>
    <t xml:space="preserve">银色幻彩PU </t>
  </si>
  <si>
    <t>扣</t>
  </si>
  <si>
    <t>#15红色包</t>
  </si>
  <si>
    <t>红色双面绒PU</t>
  </si>
  <si>
    <t>包身/背带/扣</t>
  </si>
  <si>
    <t>底纸板衬</t>
  </si>
  <si>
    <t>#16杏色包</t>
  </si>
  <si>
    <t>杏色防水羽绒服布</t>
  </si>
  <si>
    <t>包身内里</t>
  </si>
  <si>
    <t>#17黑色间线格子包</t>
  </si>
  <si>
    <t>#18紫红色包</t>
  </si>
  <si>
    <t>紫色亮光PU皮T/C布底(底同面色)</t>
  </si>
  <si>
    <t>手挽/扣</t>
  </si>
  <si>
    <t>#19杏色包包</t>
  </si>
  <si>
    <t>#20紫色包包</t>
  </si>
  <si>
    <t>紫色压纹PU皮(底同面色)</t>
  </si>
  <si>
    <t>#21幻彩包包</t>
  </si>
  <si>
    <t>白色幻彩PU皮(底同面色)</t>
  </si>
  <si>
    <t>#22浅紫色印黑色字母包包</t>
  </si>
  <si>
    <t>袋/袋侧/手挽/底</t>
  </si>
  <si>
    <t>#23玫红跨包</t>
  </si>
  <si>
    <t>玫红亮光PU皮</t>
  </si>
  <si>
    <t>后身连盖/前片</t>
  </si>
  <si>
    <t>底</t>
  </si>
  <si>
    <t>米白亮光PU皮(底同面色)</t>
  </si>
  <si>
    <t>后身边/前片身</t>
  </si>
  <si>
    <t>前扣/手挽/背带扣</t>
  </si>
  <si>
    <t>包带</t>
  </si>
  <si>
    <t>#1玫红鞋（1对）rare</t>
  </si>
  <si>
    <t>玫红色闪光巴黎之星</t>
  </si>
  <si>
    <t>面/短带/长带/结</t>
  </si>
  <si>
    <t>玫红过胶色丁布</t>
  </si>
  <si>
    <t>鞋底</t>
  </si>
  <si>
    <t>#2粉色印花鞋（1对）</t>
  </si>
  <si>
    <t>白色PU皮高危物料</t>
  </si>
  <si>
    <t>面/带/后跟/鞋底</t>
  </si>
  <si>
    <t>#3红色鞋（1对）</t>
  </si>
  <si>
    <t>红色亮光PU皮（底同面色）</t>
  </si>
  <si>
    <t>面/带/后跟</t>
  </si>
  <si>
    <t>红色过胶色丁布</t>
  </si>
  <si>
    <t>#5牛仔马鞋（1对）</t>
  </si>
  <si>
    <t>浅色牛仔布</t>
  </si>
  <si>
    <t>面/内里/流梳</t>
  </si>
  <si>
    <t>#6牛仔裤鞋（1对）</t>
  </si>
  <si>
    <t>深色牛仔布</t>
  </si>
  <si>
    <t>面/筒/内里里布/扣</t>
  </si>
  <si>
    <t>#9紫色拖鞋（1对）</t>
  </si>
  <si>
    <t>紫色透明PVC</t>
  </si>
  <si>
    <t>面</t>
  </si>
  <si>
    <t>紫色兔毛绒</t>
  </si>
  <si>
    <t>毛球</t>
  </si>
  <si>
    <t>深紫色过胶色丁布</t>
  </si>
  <si>
    <t>#10白色长筒靴（1对）</t>
  </si>
  <si>
    <t>面/鞋筒/鞋尖/内里</t>
  </si>
  <si>
    <r>
      <rPr>
        <sz val="11"/>
        <color theme="1"/>
        <rFont val="黑体"/>
        <charset val="134"/>
      </rPr>
      <t>包</t>
    </r>
    <r>
      <rPr>
        <sz val="11"/>
        <color theme="1"/>
        <rFont val="Times New Roman"/>
        <charset val="134"/>
      </rPr>
      <t xml:space="preserve">#2 #4 #13 #22 </t>
    </r>
    <r>
      <rPr>
        <sz val="11"/>
        <color theme="1"/>
        <rFont val="黑体"/>
        <charset val="134"/>
      </rPr>
      <t>鞋</t>
    </r>
    <r>
      <rPr>
        <sz val="11"/>
        <color theme="1"/>
        <rFont val="Times New Roman"/>
        <charset val="134"/>
      </rPr>
      <t xml:space="preserve">#10 </t>
    </r>
    <r>
      <rPr>
        <sz val="11"/>
        <color theme="1"/>
        <rFont val="黑体"/>
        <charset val="134"/>
      </rPr>
      <t>共用</t>
    </r>
  </si>
  <si>
    <t>1000#白色喷棉</t>
  </si>
  <si>
    <t>#11黑色长筒靴（1对）</t>
  </si>
  <si>
    <t>黑色亮光PU皮T/C布底</t>
  </si>
  <si>
    <t>筒身/筒上片/筒带/后跟</t>
  </si>
  <si>
    <t>#12粉紫色植绒拖鞋（1对）</t>
  </si>
  <si>
    <t>#14银色幻彩鞋（1对）</t>
  </si>
  <si>
    <t>银色幻彩PU皮</t>
  </si>
  <si>
    <t>本白色植绒无妨布底</t>
  </si>
  <si>
    <t>白色喷棉</t>
  </si>
  <si>
    <t>鞋内棉</t>
  </si>
  <si>
    <t>#33绿色印花方巾</t>
  </si>
  <si>
    <t>漂白色弹力软色丁布</t>
  </si>
  <si>
    <t>方巾激光裁片</t>
  </si>
  <si>
    <t xml:space="preserve">#34浅紫色印花方巾 </t>
  </si>
  <si>
    <t>#40帽子</t>
  </si>
  <si>
    <t>红色植绒TT布底</t>
  </si>
  <si>
    <t>帽顶3.5*3.5</t>
  </si>
  <si>
    <t>帽沿边3.5*3.5</t>
  </si>
  <si>
    <t>PDQ Demo 25pcs</t>
  </si>
  <si>
    <t>ZURU验货日期</t>
  </si>
  <si>
    <t>ZURU订单走货日期</t>
  </si>
  <si>
    <t>77198散件</t>
  </si>
  <si>
    <t>77198 
有香味</t>
  </si>
  <si>
    <t>77198 
无香味</t>
  </si>
  <si>
    <t>收缩膜
MA 1L</t>
  </si>
  <si>
    <t>收藏指南
MA 1L</t>
  </si>
  <si>
    <r>
      <rPr>
        <b/>
        <sz val="8"/>
        <color theme="1"/>
        <rFont val="宋体"/>
        <charset val="134"/>
        <scheme val="minor"/>
      </rPr>
      <t xml:space="preserve">收缩膜
MA </t>
    </r>
    <r>
      <rPr>
        <b/>
        <sz val="8"/>
        <color rgb="FF0000FF"/>
        <rFont val="宋体"/>
        <charset val="134"/>
        <scheme val="minor"/>
      </rPr>
      <t>B</t>
    </r>
    <r>
      <rPr>
        <b/>
        <sz val="8"/>
        <color theme="1"/>
        <rFont val="宋体"/>
        <charset val="134"/>
        <scheme val="minor"/>
      </rPr>
      <t xml:space="preserve"> 1L</t>
    </r>
  </si>
  <si>
    <r>
      <rPr>
        <b/>
        <sz val="8"/>
        <color theme="1"/>
        <rFont val="宋体"/>
        <charset val="134"/>
        <scheme val="minor"/>
      </rPr>
      <t xml:space="preserve">收藏指南
MA </t>
    </r>
    <r>
      <rPr>
        <b/>
        <sz val="8"/>
        <color rgb="FF0000FF"/>
        <rFont val="宋体"/>
        <charset val="134"/>
        <scheme val="minor"/>
      </rPr>
      <t>B</t>
    </r>
    <r>
      <rPr>
        <b/>
        <sz val="8"/>
        <color theme="1"/>
        <rFont val="宋体"/>
        <charset val="134"/>
        <scheme val="minor"/>
      </rPr>
      <t xml:space="preserve"> 1L</t>
    </r>
  </si>
  <si>
    <t>收缩膜
MA 3L</t>
  </si>
  <si>
    <t>收藏指南
MA 3L</t>
  </si>
  <si>
    <t>59886/63730
收藏指南
德语客版</t>
  </si>
  <si>
    <t>SK
展示架
MA 1L
带demo</t>
  </si>
  <si>
    <t>SK
展示架
MA 3L
带demo</t>
  </si>
  <si>
    <t>SK
展示架
-003客版
带demo</t>
  </si>
  <si>
    <t>MA 1L A
GQ2
无demo</t>
  </si>
  <si>
    <r>
      <rPr>
        <b/>
        <sz val="8"/>
        <color theme="1"/>
        <rFont val="宋体"/>
        <charset val="134"/>
        <scheme val="minor"/>
      </rPr>
      <t xml:space="preserve">MA 1L </t>
    </r>
    <r>
      <rPr>
        <b/>
        <sz val="8"/>
        <color rgb="FFFF0000"/>
        <rFont val="宋体"/>
        <charset val="134"/>
        <scheme val="minor"/>
      </rPr>
      <t>B</t>
    </r>
    <r>
      <rPr>
        <b/>
        <sz val="8"/>
        <color theme="1"/>
        <rFont val="宋体"/>
        <charset val="134"/>
        <scheme val="minor"/>
      </rPr>
      <t xml:space="preserve">
GQ2
带demo</t>
    </r>
  </si>
  <si>
    <t>MA 3L A
GQ2
带demo</t>
  </si>
  <si>
    <t>客版
GQ1
带demo</t>
  </si>
  <si>
    <t>63730/59886
客版GQ2</t>
  </si>
  <si>
    <t>客版
GQ3</t>
  </si>
  <si>
    <t>客版
GQ4</t>
  </si>
  <si>
    <t>客版
SQ1</t>
  </si>
  <si>
    <t>客版
SQ2</t>
  </si>
  <si>
    <t xml:space="preserve">Wal-mart US D07 </t>
  </si>
  <si>
    <t>MPO01093 4500057220</t>
  </si>
  <si>
    <t xml:space="preserve">Emily </t>
  </si>
  <si>
    <t>迷你小手袋</t>
  </si>
  <si>
    <t>2021/9/11 2021/7/30取消订单</t>
  </si>
  <si>
    <t>2021/9/14 2021/7/30取消订单</t>
  </si>
  <si>
    <t>转实单</t>
  </si>
  <si>
    <t>库有</t>
  </si>
  <si>
    <t xml:space="preserve">1.包装要求：Fashion Mini Brand S1 MA 包装
2.36pcs/CTN,装箱送货到库有
3.此单需要运到库有验货，每张展示架订单请多备5-6pcs产品
4.PO4500057220需要在库有抽板测试，抽板时间预计9/10号，请多备物料 请送货到库有组装时备注：供WM 展示架PO#4500057220 ，ItemMSLD16组装使用 </t>
  </si>
  <si>
    <t>MPO01094 4500057210</t>
  </si>
  <si>
    <t xml:space="preserve">1.包装要求：Fashion Mini Brand S1 MA 包装
2.36pcs/CTN,装箱送货到库有
3.此单需要运到库有验货，每张展示架订单请多备5-6pcs产品
4.PO4500057220需要在库有抽板测试，抽板时间预计9/10号，请多备物料 请送货到库有组装时备注：供WM 展示架PO#4500057210 ，ItemMSLD16组装使用 </t>
  </si>
  <si>
    <t>MPO01095 4500057211</t>
  </si>
  <si>
    <t>2021/9/13 2021/7/30取消订单</t>
  </si>
  <si>
    <t>2021/9/17 2021/7/30取消订单</t>
  </si>
  <si>
    <t xml:space="preserve">1.包装要求：Fashion Mini Brand S1 MA 包装
2.36pcs/CTN,装箱送货到库有
3.此单需要运到库有验货，每张展示架订单请多备5-6pcs产品
4.PO4500057220需要在库有抽板测试，抽板时间预计9/10号，请多备物料 请送货到库有组装时备注：供WM 展示架PO#4500057211 ，ItemMSLD16组装使用 </t>
  </si>
  <si>
    <t>MPO01099 4500057212</t>
  </si>
  <si>
    <t>2021/9/16 2021/7/30取消订单</t>
  </si>
  <si>
    <t>2021/9/20 2021/7/30取消订单</t>
  </si>
  <si>
    <t xml:space="preserve">1.包装要求：Fashion Mini Brand S1 MA 包装
2.36pcs/CTN,装箱送货到库有
3.此单需要运到库有验货，每张展示架订单请多备5-6pcs产品
4.PO4500057220需要在库有抽板测试，抽板时间预计9/10号，请多备物料 请送货到库有组装时备注：供WM 展示架PO#4500057212 ，ItemMSLD16组装使用 </t>
  </si>
  <si>
    <t>MPO01103 4500057213</t>
  </si>
  <si>
    <t>2021/9/23 2021/7/30取消订单</t>
  </si>
  <si>
    <t xml:space="preserve">1.包装要求：Fashion Mini Brand S1 MA 包装
2.36pcs/CTN,装箱送货到库有
3.此单需要运到库有验货，每张展示架订单请多备5-6pcs产品
4.PO4500057220需要在库有抽板测试，抽板时间预计9/10号，请多备物料 请送货到库有组装时备注：供WM 展示架PO#4500057213 ，ItemMSLD16组装使用 </t>
  </si>
  <si>
    <t>MPO01104 4500057214</t>
  </si>
  <si>
    <t xml:space="preserve">1.包装要求：Fashion Mini Brand S1 MA 包装
2.36pcs/CTN,装箱送货到库有
3.此单需要运到库有验货，每张展示架订单请多备5-6pcs产品
4.PO4500057220需要在库有抽板测试，抽板时间预计9/10号，请多备物料 请送货到库有组装时备注：供WM 展示架PO#4500057214 ，ItemMSLD16组装使用 </t>
  </si>
  <si>
    <t>WM TEAM</t>
  </si>
  <si>
    <t>迷你小手袋PDQ</t>
  </si>
  <si>
    <t>77198GQ3-S001</t>
  </si>
  <si>
    <t>2021/10/4  2021/9/3日取消订单</t>
  </si>
  <si>
    <t>2021/10/8  2021/9/3日取消订单</t>
  </si>
  <si>
    <t>8/26挪给后续翻单</t>
  </si>
  <si>
    <t>日期码格式：ZURU DGYYMMDD CHINA(避开法定节假日和周末） 日期：按实际生产日期
Remark: 77198：
1. 包装要求： MA 1L收缩膜+MA 1L纸袋+客版PDQ
2. 需印刷箱唛（四面右下角需印Zuru Logo）+贴艾利贴纸,箱唛待提供。外箱侧面任一角落标注：MADE IN CHINA
3. 在产品上和包装上要有日期码、以及要有MADE IN CHINA和ZURU字样。
4.此单需要验货，请多备料
5.8pcs/PDQ/CTN
6.此单走Bulk carton，不走slip sheet</t>
  </si>
  <si>
    <t>2021/10/7 2021/9/3日取消订单</t>
  </si>
  <si>
    <t>2021/10/11 2021/9/3日取消订单</t>
  </si>
  <si>
    <t>2021/10/8 2021/9/3日取消订单</t>
  </si>
  <si>
    <t>2021/10/12 2021/9/3日取消订单</t>
  </si>
  <si>
    <t>Wal-mart US</t>
  </si>
  <si>
    <t>MO20210930</t>
  </si>
  <si>
    <t>迷你小手袋卡板装
85 GQ3/卡板</t>
  </si>
  <si>
    <t>77198SLB-S002</t>
  </si>
  <si>
    <t>2021/11/15 2021/10/12日转正式订单</t>
  </si>
  <si>
    <t>2021/11/19 2021/10/12日转正式订单</t>
  </si>
  <si>
    <t>未完成</t>
  </si>
  <si>
    <t xml:space="preserve">1.包装要求：
77198: MA 1L收缩膜+MA 1L纸袋+MA 1L收藏指南+贴纸+客版PDQ,翻单： 4500058608
2. 在原来的空白外箱基础上增加了UPC内容，在加印的时候确保条形码能扫描出来（需四面右下角有ZURU的Logo）,UPC内容待提供，外箱侧面任一角落加印：“MADE IN CHINA” 字样；
3.每个slip sheet上面贴一张艾利贴纸和一张普通贴纸（可A4纸打印），slip sheet打印的普通贴纸的尺寸不能比艾利贴纸小，普通贴纸内容见附件。
4. 在产品上和包装上要有日期码、以及要有MADE IN CHINA和ZURU字样；
5. 产品如有扎带口要剪平，不能刮手。
6. 此单需要验货，请自行多备包装物料。
7. 此单以slip sheet出货， 77198：8pcs/PDQ/CTN，120箱/Slip sheet
</t>
  </si>
  <si>
    <t>77198GQ2-S001</t>
  </si>
  <si>
    <t>迷你小手袋PDQ
18pcs/GQ2/36pcs/箱</t>
  </si>
  <si>
    <t>2022/4/8 2022/1/7日取消订单</t>
  </si>
  <si>
    <t>2022/4/4 2022/1/7日取消订单</t>
  </si>
  <si>
    <t>日期码格式：ZURU 标准格式 日期：按实际生产日期
Remark: 1. MA PKG+进口商贴纸</t>
  </si>
  <si>
    <t>Doris</t>
  </si>
  <si>
    <t>LUDERIX INTERNATIONAL SAS</t>
  </si>
  <si>
    <t>2022/6/22 2022/6/22日取消订单</t>
  </si>
  <si>
    <t>2022/6/18 2022/6/22日取消订单</t>
  </si>
  <si>
    <t>日期码格式：ZURU 标准格式 日期：按实际生产日期
Remark: 1.请多备料，每款2-4套左右
10.77198GQ2:MA3L B版收缩膜+MA3L B版PDQ+MA3L B版收藏指南+1张警语贴纸翻4500070946+1张条码贴纸翻4500070946</t>
  </si>
  <si>
    <t>8000639966</t>
  </si>
  <si>
    <t>77198GQ2-S002</t>
  </si>
  <si>
    <t>迷你小手袋PDQ
18pcs/GQ2</t>
  </si>
  <si>
    <t>2022/6/22 2022/4/26日取消订单</t>
  </si>
  <si>
    <t>2022/6/18 2022/4/26日取消订单</t>
  </si>
  <si>
    <t>日期码格式：ZURU 标准格式 日期：按实际生产日期
Remark: 1.包装方式：
#77198 MA3L PDQ+MA3L收缩膜+MA 3L收藏指南
2.有箱唛待提供
3.有第三方验货，烦请多备包装物料</t>
  </si>
  <si>
    <t>2022/7/13 2022/4/26日取消订单</t>
  </si>
  <si>
    <t>2022/7/9 2022/4/26日取消订单</t>
  </si>
  <si>
    <t>2022/8/3 2022/4/26日取消订单</t>
  </si>
  <si>
    <t>2022/7/29 2022/4/26日取消订单</t>
  </si>
  <si>
    <t>CBI DISTRIBUTING CORPORATION</t>
  </si>
  <si>
    <t>取消单</t>
  </si>
  <si>
    <t>日期码格式：ZURU 标准格式 日期：按实际生产日期
Remark: MA 3L包装 + 客供价格贴纸</t>
  </si>
  <si>
    <t>Cara</t>
  </si>
  <si>
    <t>ZURU</t>
  </si>
  <si>
    <t>MPO01504</t>
  </si>
  <si>
    <t>77198</t>
  </si>
  <si>
    <t>MPO#01504 for 兴信的子件item#77198 for WAL-MART CANADA CORP :  送永捷混装展示架组装 PO# 4500076395;
包装：MA3L收缩膜+MA 3L收藏指南，此单有第三方验货没有测试，请注意备品，谢谢
1.    包装要求，交货日期 &amp; 备品数量信息请以跟单同事的信息为准;
2.    送货后，请发回盖章收货单通知SP在Odoo系统上确认收货，以便款项支付。谢谢</t>
  </si>
  <si>
    <t>5/4暂停生产</t>
  </si>
  <si>
    <t>日期码格式：ZURU 标准格式 日期：按实际生产日期
Remark: 1.请多备料，每款2-4套左右
9.77198GQ2:MA3L B版收缩膜+MA3L B版PDQ+MA3L B版收藏指南+1张警语贴纸翻4500070946+1张条码贴纸翻4500070946</t>
  </si>
  <si>
    <t>77246-S002</t>
  </si>
  <si>
    <t>迷你小手袋
2PK入邮包盒/箱</t>
  </si>
  <si>
    <t>2022/6/13 2022/5/18日取消订单</t>
  </si>
  <si>
    <t>2022/6/9 2022/5/18日取消订单</t>
  </si>
  <si>
    <t>空白外箱加印ZURU Logo+MADE IN CHINA</t>
  </si>
  <si>
    <t>日期码格式：ZURU 标准格式 日期：按实际生产日期
Remark: 1.Amazon FOB订单，出口CA。外箱最长边不能超过25" （超过了，case pack只能为1），不符合要求的大货，一律不接受。
2. 空白外箱加印ZURU Logo+MADE IN CHINA+SSCC LABEL（客供贴纸）,无shipping mark，日期使用ZURU 标准版本 SSCC Label 显示的是客人自己的item#, SSCC La
bel 贴在外箱正面的正中间，贴一面即可，跟单订购，贴纸离外箱距必须至少3cm, 每一张SSCC label 都是唯一且有不同流水及条码的，没有损耗，绝对不可贴错
，否则贴错或损坏一张会导致全部都错，千万要注意.
3.散货进仓，直接送CDS保税仓.
77246：2PK 77198-S001 MA 3L in mailer box。邮宝盒图稿跟4500067696。两个球的配比不能重复。
出US 带Slime的9238+9241 需为无棚版本.</t>
  </si>
  <si>
    <t>Agnes</t>
  </si>
  <si>
    <t>360 SALES SOLUTIONS INC</t>
  </si>
  <si>
    <t>2022zuru10</t>
  </si>
  <si>
    <t>3/25 取消</t>
  </si>
  <si>
    <t>日期码格式：ZURU 标准格式 日期：按实际生产日期
Remark: 1.77198GQ2 MA 3L包装
日期跟踪码：产品外包装及产品本身都必须有日期跟踪码，并且确保两者的日期跟踪码要一致；ZURU标准格式日期码(请自行调整具体年月日生产期，但不能为周
末）。</t>
  </si>
  <si>
    <t>MO20220311</t>
  </si>
  <si>
    <t>77198SLB-S004</t>
  </si>
  <si>
    <t>迷你小手袋卡板装</t>
  </si>
  <si>
    <t>已转实单</t>
  </si>
  <si>
    <t>1. 包装要求：
77198: MA 1L收缩膜+MA 1L纸袋+MA 1L收藏指南+贴纸+MA PDQ,翻单： 4500070682
2. 在原来的空白外箱基础上增加了UPC内容，在加印的时候确保条形码能扫描出来（需四面右下角有ZURU的Logo）,UPC内容待提供，外箱侧面任一角落加印："MADE IN CHINA" 字样；
3.每个slip sheet上面贴一张艾利贴纸和一张普通贴纸（可A4纸打印），slip sheet打印的普通贴纸的尺寸不能比艾利贴纸小，普通贴纸内容见附件。
4.在产品上和包装上要有日期码、以及要有MADE IN CHINA和ZURU字样。
5.此单以slip sheet出货，77198：18pcs/PDQ/CTN， 60箱/Slip sheet；
6.此单需要验货，请多备料</t>
  </si>
  <si>
    <t>5/11取消 订单已完成</t>
  </si>
  <si>
    <t>日期码格式：ZURU 标准格式 日期：按实际生产日期
Remark: 1.包装方式：
#77198 MA3L PDQ+MA3L收缩膜+MA 3L收藏指南
4.有箱唛待提供
5.有第三方验货，烦请多备包装物料</t>
  </si>
  <si>
    <t>ASDA STORES LTD</t>
  </si>
  <si>
    <t>77198SLB-S005</t>
  </si>
  <si>
    <t>5/10取消 转新单78571</t>
  </si>
  <si>
    <t>日期码格式：ZURU 标准格式 日期：按实际生产日期
Remark: 
3. 77198GQ4-S001 :客版PDQ 1L版(8pcs/Gravity PDQ, 2W*2D*2H=8pcs/PDQ;8pcs/CTN);
MA收缩膜C1L版+SPEC CODE贴纸(spec code: 193052033178.2022)+MA收藏指南C1L版+其他MA 1L包装；
PDQ size: 20*20*20cm,必须是这个尺寸，不然客人货架放不下；
77198GQ4-S001 8pcs/PDQ/CTN(carton size:22x21x22.5cm), 20*6H=120carton=960pcs/Slip Sheet；一共需要4套slip sheet；
Slip Sheet打包好后，需要在正唛、侧唛右下角各贴一张slip sheet贴纸，直接用A4纸打印出来即可，贴纸尺寸160mm width x 140mm high；Slip Sheet尺寸限制为
100*115*130CM，一旦实际SLIP SHEET尺寸超过这个尺寸，请提前通知ZURU跟单，需同客人确认才能量产和出货;
4.出英国，产品需要打UKCA Mark，包装也需要印UKCA Mark，否则客人会退货有罚款产生
5.请在5/13按时提供格式自检报告给我们发给客人审批了才能出货
6.请在5/6各提供两套新签板给我们安排签板
7.纸箱都用单坑纸箱，如运输测试不通过无法做成单坑，请第一时间通知跟单
8.如有slime产品，硼含量需要符合欧洲标准，如不确定是否符合请咨询ZURU NPD同事，否则客人会退货有罚款产生</t>
  </si>
  <si>
    <t>77198GQ4</t>
  </si>
  <si>
    <t>Novelty Poster Co Inc</t>
  </si>
  <si>
    <t>0086699</t>
  </si>
  <si>
    <t>5/16 取消单</t>
  </si>
  <si>
    <t>日期码格式：ZURU 标准格式 日期：按实际生产日期
Remark: 1.ZURU MA包装,出口美国.1L MA包裝
2.大货配比为:
#77198GQ2-S001-5 SURPRISE-FASHION MINI BRANDS-SERIES 1,18pcs/Gravity PDQ,36pcs/CTN,No Inner,STD Color Assortment
3.所有产品外包装及产品本身都必须有日期跟踪码，ZURU标准格式日期码,日期自行调整，但不能为周末。</t>
  </si>
  <si>
    <t>SD18</t>
  </si>
  <si>
    <t>日期码格式：ZURU DGYYMMDD CHINA(避开法定节假日和周末） 日期：按实际生产日期
Remark: 1. 包装要求：
77198: MA 1L收缩膜+MA 1L纸袋+MA 1L收藏指南+贴纸+MA PDQ,翻单： 4500070682
2.在原来的空白外箱基础上增加了UPC内容，在加印的时候确保条形码能扫描出来（需四面右下角有ZURU的Logo）,UPC内容待提供，外箱侧面任一角落加印："MADE
IN CHINA" 字样；
3.每个slip sheet上面贴一张艾利贴纸和一张普通贴纸（可A4纸打印），slip sheet打印的普通贴纸的尺寸不能比艾利贴纸小，普通贴纸内容见附件。
4.在产品上和包装上要有日期码、以及要有MADE IN CHINA和ZURU字样。
5.此单以slip sheet出货，77218：3pcs/PDQ/CTN，115箱/Slip sheet
77198：18pcs/PDQ/CTN， 60箱/Slip sheet
6.此单需要验货，请多备料</t>
  </si>
  <si>
    <t xml:space="preserve"> 
4231913187</t>
  </si>
  <si>
    <t>空白外箱+白色艾利贴纸；外箱四面右下角需印ZURU Logo</t>
  </si>
  <si>
    <t>日期码格式：ZURU DGYYMMDD CHINA(避开法定节假日和周末） 日期：按实际生产日期
Remark: 1. 包装要求：
77198: MA 1L收缩膜+MA 1L纸袋+MA 1L收藏指南+贴纸+MA PDQ,翻单： 4500070682
2. 空白外箱+白色艾利贴纸；外箱四面右下角需印ZURU Logo；常规贴纸还是按照以往的包装操作贴在主唛左前下角；外箱侧面任一角落备注："MADE IN CHINA" 字
样；
3.在产品上和包装上要有日期码、以及要有MADE IN CHINA和ZURU字样。
4.此单以bulk carton出货，不以slip sheet出货；
5. 77198：18pcs/PDQ/CTN，
6.此单需要验货，请多备料</t>
  </si>
  <si>
    <t>日期码格式：ZURU DGYYMMDD CHINA(避开法定节假日和周末） 日期：按实际生产日期
Remark: 1. 包装要求：
77198: MA 1L收缩膜+MA 1L纸袋+MA 1L收藏指南+贴纸+MA PDQ,翻单： 4500070682
2. 空白外箱+白色艾利贴纸；外箱四面右下角需印ZURU Logo；常规贴纸还是按照以往的包装操作贴在主唛左前下角；外箱侧面任一角落备注："MADE IN CHINA" 字
样；
3.在产品上和包装上要有日期码、以及要有MADE IN CHINA和ZURU字样。
4.此单以bulk carton出货，不以slip sheet出货；
5. 77198：18pcs/PDQ/CTN，
6.此单需要验货，请多备料
Order</t>
  </si>
  <si>
    <t>空白外箱+白色艾利贴纸；外箱四面右下角需印ZURU Logo；常规贴纸还是按照以往的包装操作贴在主唛左前下角；外箱侧面任一角落备注："MADE IN CHINA" 字
样</t>
  </si>
  <si>
    <t>日期码格式：ZURU DGYYYYMMDD CHINA(日期避开周末和法定节假日即可） 日期：按实际生产日期
Remark: 77198GQ2：
1. 包装要求：
77198: MA 1L收缩膜+MA 1L纸袋+MA 1L收藏指南+贴纸+MA PDQ,翻单： 4500070682
2. 空白外箱+白色艾利贴纸；外箱四面右下角需印ZURU Logo；常规贴纸还是按照以往的包装操作贴在主唛左前下角；外箱侧面任一角落备注："MADE IN CHINA" 字
样；
3.在产品上和包装上要有日期码、以及要有MADE IN CHINA和ZURU字样。
4.此单以bulk carton出货，不以slip sheet出货；
5. 77198：18pcs/PDQ/CTN，
6.此单需要验货，请多备料</t>
  </si>
  <si>
    <t>在原来的空白外箱基础上增加了UPC内容</t>
  </si>
  <si>
    <t>日期码格式：ZURU DGYYYYMMDD CHINA(日期避开周末和法定节假日即可） 日期：按实际生产日期
Remark: 77198SLB
1. 包装要求：
77198: MA 1L收缩膜+MA 1L纸袋+MA 1L收藏指南+贴纸+MA PDQ,翻单： 4500070682
2.在原来的空白外箱基础上增加了UPC内容，在加印的时候确保条形码能扫描出来（需四面右下角有ZURU的Logo）,UPC内容待提供，外箱侧面任一角落加印："MADE
IN CHINA" 字样；
3.每个slip sheet上面贴一张艾利贴纸和一张普通贴纸（可A4纸打印），slip sheet打印的普通贴纸的尺寸不能比艾利贴纸小，普通贴纸内容见附件。
4.在产品上和包装上要有日期码、以及要有MADE IN CHINA和ZURU字样。
5.此单以slip sheet出货，77198：18pcs/PDQ/CTN， 60箱/Slip sheet
6.此单需要验货，请多备料</t>
  </si>
  <si>
    <t>日期码格式：ZURU DGYYYYMMDD CHINA(日期避开周末和法定节假日即可） 日期：按实际生产日期
Remark: 1. 包装要求：
77198: MA 1L收缩膜+MA 1L纸袋+MA 1L收藏指南+贴纸+MA PDQ,翻单： 4500070682
2. 空白外箱+白色艾利贴纸；外箱四面右下角需印ZURU Logo；常规贴纸还是按照以往的包装操作贴在主唛左前下角；外箱侧面任一角落备注："MADE IN CHINA" 字
样；
3.在产品上和包装上要有日期码、以及要有MADE IN CHINA和ZURU字样。
4.此单以bulk carton出货，不以slip sheet出货；
5. 77198：18pcs/PDQ/CTN，
6.此单需要验货，请多备料</t>
  </si>
  <si>
    <t>2022/6/3 2022/5/24日取消订单</t>
  </si>
  <si>
    <t>2022/6/2 2022/5/24日取消订单</t>
  </si>
  <si>
    <t>日期码格式：ZURU 标准格式 日期：按实际生产日期
Remark: 1.请多备料，每款2-4套左右
8.77198GQ2:MA3L B版收缩膜+MA3L B版PDQ+MA3L B版收藏指南+1张警语贴纸+1张条码贴纸</t>
  </si>
  <si>
    <t>已完成</t>
  </si>
  <si>
    <t>BRANDS IN STYLE (PVT) LTD</t>
  </si>
  <si>
    <t>6/9 取消订单</t>
  </si>
  <si>
    <t>日期码格式：ZURU 标准格式 日期：按实际生产日期
Remark: 1.MA UPC PKG, 优先MA 1L</t>
  </si>
  <si>
    <t>77366-S001</t>
  </si>
  <si>
    <t>迷你小手袋
2个球装</t>
  </si>
  <si>
    <t>2022/6/30 2022/6/13日取消订单</t>
  </si>
  <si>
    <t>2022/6/27 2022/6/13日取消订单</t>
  </si>
  <si>
    <t>日期码格式：ZURU 标准格式 日期：按实际生产日期
Remark: 1.Amazon domestic 订单，外箱加印箱唛 （跟单提供）。出口美国。外箱最长边不能超过25" （超过了，case pack只能为1），不符合要求的大货，一律不接受。
2.无第三方验货/测试要求。
3.日期码使用ZURU标准版本。MA 1L 包装。
77366:2PK 77198-S001 in PVC tube, 两个球的配比不能重复。 铜版纸AW跟翻单4500070743. Amazon 独家UPC：193052035974</t>
  </si>
  <si>
    <t>Agnes/Yvonne</t>
  </si>
  <si>
    <t>6/27 取消订单</t>
  </si>
  <si>
    <t>日期码格式：ZURU 标准格式 日期：按实际生产日期
Remark: 1.Amazon Domestic 订单，出口US。外箱最长边不能超过25" （超过了，case pack只能为1），不符合要求的大货，一律不接受。
2.跟单提供箱唛
3.ZURU MA包装1L。
4.邮包盒请打上日期码
77366:2PK 77198-S001 in PVC tube, 两个球的配比不能重复。 铜版纸AW跟翻单4500070743. Amazon 独家UPC：193052035974</t>
  </si>
  <si>
    <t>0086-7017436-0581</t>
  </si>
  <si>
    <t>7/18 取消订单</t>
  </si>
  <si>
    <t>日期码格式：ZURU 标准格式 日期：按实际生产日期
Remark: 1 77198GQ2 : 18pcs PCS/CTN
2 产品MA 1L 包装，产品上面的UPC 显示193052033178；MA PDQ ,18pcs PDQ
3 产品和包装上均要印刷tracking code信息，格式为ZURU常规格式
4 出货方式： 货代自提
5 外箱正唛右上角位置粘贴条码箱贴纸，每箱只贴一张由ZURU订购,DPCI 显示 086-02-8968，来料显示10193052033175</t>
  </si>
  <si>
    <t xml:space="preserve">Holly Zheng/ Cherish </t>
  </si>
  <si>
    <t>0086-7893365-0584</t>
  </si>
  <si>
    <t>日期码格式：ZURU 标准格式 日期：按实际生产日期
Remark: 1.Amazon Domestic订单，出口US。外箱最长边不能超过25" （超过了，case pack只能为1），不符合要求的大货，一律不接受。
2. 跟单提供箱唛资料
3.ZURU MA包装1L。
4.邮包盒请打上日期码
77366:2PK 77198-S001 in PVC tube, 两个球的配比不能重复。 铜版纸AW跟翻单4500070743. Amazon 独家UPC：193052035974</t>
  </si>
  <si>
    <t>MO20220706</t>
  </si>
  <si>
    <t>77349GQ2-S002</t>
  </si>
  <si>
    <t>2代迷你小手袋</t>
  </si>
  <si>
    <t>取消订单</t>
  </si>
  <si>
    <t>空白外箱（四面右下角需印Zuru Logo)</t>
  </si>
  <si>
    <t>1. 包装要求：
77349： MA 1L收缩膜+MA 1L纸袋+MA 1L收藏指南+贴纸+MA PDQ
每pcs产品要贴一张RFID贴纸，RFID贴纸由ZURU提供，贴纸位置要严格按照客人签板
2.空白外箱（四面右下角需印Zuru Logo)+白色艾利贴纸+粉红色艾利贴纸；请注意外箱上有2张贴纸（1张常规贴纸+1张粉红色贴纸），白色艾利贴纸还是按照以往的包装操作贴在主唛左前下角；1张粉红色贴纸贴在对角线，外箱任一侧面角落备注："MADE IN CHINA" 字样。
3. 在产品上和包装上要有日期码、以及要有MADE IN CHINA和ZURU字样；
4. 产品如有扎带口要剪平，不能刮手。
5. 此单需要抽板验货，抽板期初定8/1，请自行多备包装物料。</t>
  </si>
  <si>
    <t>MO20220718</t>
  </si>
  <si>
    <t>77349SK</t>
  </si>
  <si>
    <t>2代迷你小手袋展示架</t>
  </si>
  <si>
    <t>已转新单4500083528</t>
  </si>
  <si>
    <t>1. 包装要求：
77349SK： MA 1L收缩膜+MA 纸袋+MA 3L收藏指南+MA sidekick
每pcs产品要贴一张RFID贴纸，RFID贴纸由ZURU提供，贴纸位置要严格按照客人签板
2.外箱蓝色色带箱唛（四面右下角需印Zuru Logo)+1张白色艾利贴纸+2张黄色贴纸；白色艾利贴纸还是按照以往的包装操作贴在主唛左前下角，外箱任一侧面角落备注："MADE IN CHINA" 字样，黄色贴纸正面和侧面各贴一张，外箱箱唛资料和黄色贴纸资料待提供。
3. 在产品上和包装上要有日期码、以及要有MADE IN CHINA和ZURU字样；
4. 产品如有扎带口要剪平，不能刮手。
5. 此单需要抽板验货，抽板期初定8/19，请自行多备包装物料。
6.30pcs/Sidekick/CTN</t>
  </si>
  <si>
    <t>MO20220803</t>
  </si>
  <si>
    <t>转正式PO  4500084500</t>
  </si>
  <si>
    <t>已从实单4500084500扣除 手工单</t>
  </si>
  <si>
    <t>0086-3702034-0581</t>
  </si>
  <si>
    <t>10-77349GQ2-S002</t>
  </si>
  <si>
    <t>订单取消</t>
  </si>
  <si>
    <t>日期码格式：ZURU 标准格式 日期：按实际生产日期
Remark: 1# 77349GQ2-S002 : 18pcs PCS/PDQ/CTN
2 产品MA 1L 包装，产品上面的UPC 显示193052043757；MA PDQ ,18pcs/PDQ
3 产品和包装上均要印刷tracking code信息，格式为ZURU常规格式
4 外箱正唛右上角位置粘贴条码箱贴纸，每箱只贴一张由ZURU订购,DPCI 显示 086-02-8442，来料显示10193052043754
5 出货方式： 货代自提</t>
  </si>
  <si>
    <t>Holly Zheng/Cherish</t>
  </si>
  <si>
    <t>SHINE S.A.</t>
  </si>
  <si>
    <t>阿根廷</t>
  </si>
  <si>
    <t>20-77198GQ2-S001</t>
  </si>
  <si>
    <t>11/9 取消订单</t>
  </si>
  <si>
    <t>成品</t>
  </si>
  <si>
    <t>日期码格式：ZURU 标准格式 日期：按实际生产日期
Remark: 1.MA 3L包装+进口商贴纸,箱唛;此单消耗取消订单4500072103 数量6390pcs，需补做剩余3330pcs</t>
  </si>
  <si>
    <t>Ever.Li</t>
  </si>
  <si>
    <t>77349SK1-S001</t>
  </si>
  <si>
    <t>先不安排做大货</t>
  </si>
  <si>
    <t>待后续订单扣除</t>
  </si>
  <si>
    <t>日期码格式：ZURU DGYYMMDD CHINA(避开法定节假日和周末） 日期：按实际生产日期
Remark: 1. 包装要求：
77349SK1： MA 1L收缩膜+MA 纸袋+MA 3L收藏指南+MA sidekick
每pcs产品要贴一张RFID贴纸，RFID贴纸由ZURU提供，贴纸位置要严格按照客人签板
2.外箱蓝色色带箱唛（四面右下角需印Zuru Logo)+1张白色艾利贴纸+2张黄色贴纸；白色艾利贴纸还是按照以往的包装操作贴在主唛左前下角，外箱任一侧面角落备
注："MADE IN CHINA" 字样，黄色贴纸正面和侧面各贴一张，外箱箱唛资料和黄色贴纸资料待提供。
3. 在产品上和包装上要有日期码、以及要有MADE IN CHINA和ZURU字样；
4. 产品如有扎带口要剪平，不能刮手。
5. 此单需要抽板验货，抽板期初定8/19，请自行多备包装物料。
6.30pcs/Sidekick/CTN</t>
  </si>
  <si>
    <t>未</t>
  </si>
  <si>
    <t>MO20220923</t>
  </si>
  <si>
    <t>77349SLB-S001</t>
  </si>
  <si>
    <t>2代迷你小手袋
卡板装</t>
  </si>
  <si>
    <t>待实单扣除</t>
  </si>
  <si>
    <t>1. 包装要求：
77349: MA 1L收缩膜+MA 1L纸袋+MA 收藏指南+MA 1L PDQ,翻单：4500084502
每pcs产品上要贴1张RFID贴纸，贴纸由ZURU提供，贴纸位置请严格按照我们签回的签板；
2. 在原来的空白外箱基础上增加了UPC内容+RFID箱唛，在加印的时候确保条形码能扫描出来（需四面右下角有ZURU的Logo），UPC内容待和RFID箱唛提供，外箱侧面任一角落加印："MADE IN CHINA" 字样；
3. 每个slip sheet上面贴一张艾利贴纸和一张普通贴纸（可A4纸打印），slip sheet打印的普通贴纸的尺寸不能比艾利贴纸小，普通贴纸内容见附件；
3. 在产品上和包装上要有日期码、以及要有MADE IN CHINA和ZURU字样；
4. 产品如有扎带口要剪平，不能刮手。
5. 此单需要验货，请多备料
6. 此单以slip sheet出货，
77349：18pcs/PDQ/CTN；1080pcs/60CTN/Slip Sheet</t>
  </si>
  <si>
    <t>4500090575-50</t>
  </si>
  <si>
    <t>77349GQ2-S001</t>
  </si>
  <si>
    <t>日期码格式：ZURU 标准格式 日期：按实际生产日期
Packaging Info: 
3,77349GQ2 MA英语UPC版本包装（收缩膜+收藏指南+PDQ）（首先1L，如果无1L可用多语含英语）+防盗贴纸（1pcs/PCS)+箱唛+箱唛贴纸(1PCS/CTN),防盗贴纸及其
位置图跟回PO#4500086073
Remark: 1,请务必按时完货，验货并请按期送货入货代指定仓库，如果晚了导致船期Delay将会有罚金产生或者客户要求空运，所产生的罚金和空运费由工厂承担。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
3.外箱材质要求K=B；
4.此单需使用KMART封箱胶上下工字型封箱;从2019年6月开始，要用KMART 新版封箱胶带，此单要用"ANKO"封箱胶带
5.此单出口澳大利亚，请按相应的澳新标准生产；
6.产品和包装上生产批号的显示格式ZURU标准日期码格式</t>
  </si>
  <si>
    <t>Sara Wang</t>
  </si>
  <si>
    <t>4500090577-50</t>
  </si>
  <si>
    <t>日期码格式：ZURU 标准格式 日期：按实际生产日期
Packaging Info: 
3,77349GQ2 MA英语UPC版本包装（收缩膜+收藏指南+PDQ）（首先1L，如果无1L可用多语含英语）+防盗贴纸（1pcs/PCS)+箱唛+箱唛贴纸(1PCS/CTN),防盗贴纸及其
位置图跟回PO#4500086073
Remark: 1,请务必按时完货，验货并请按期送货入货代指定仓库，如果晚了导致船期Delay将会有罚金产生或者客户要求空运，所产生的罚金和空运费由工厂承担。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
3.外箱材质要求K=B；
4.此单需使用KMART封箱胶上下工字型封箱;从2019年6月开始，要用KMART 新版封箱胶带，此单要用"ANKO"封箱胶带
5.此单出口新西兰，请按相应的澳新标准生产；
6.产品和包装上生产批号的显示格式ZURU标准日期码格式</t>
  </si>
  <si>
    <t>4500090575-20</t>
  </si>
  <si>
    <t>日期码格式：ZURU 标准格式 日期：按实际生产日期
Packaging Info: 
5.77353GQ1 MAUPC英文版本包装（收缩膜+收藏指南+PDQ）（首先1L，如果无1L可用多语含英语）+防盗贴纸+箱唛+箱唛贴纸(1PCS/CTN)。12pcs/Gravity PDQ,12pcs
/CTN，防盗贴纸及其位置图跟回PO#4500086540
Remark: 1,请务必按时完货，验货并请按期送货入货代指定仓库，如果晚了导致船期Delay将会有罚金产生或者客户要求空运，所产生的罚金和空运费由工厂承担。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
3.外箱材质要求K=B；
4.此单需使用KMART封箱胶上下工字型封箱;从2019年6月开始，要用KMART 新版封箱胶带，此单要用"ANKO"封箱胶带
5.此单出口澳大利亚，请按相应的澳新标准生产；
6.产品和包装上生产批号的显示格式ZURU标准日期码格式</t>
  </si>
  <si>
    <t>4500090577-20</t>
  </si>
  <si>
    <t>日期码格式：ZURU 标准格式 日期：按实际生产日期
Packaging Info:
3,77349GQ2 MA英语UPC版本包装（收缩膜+收藏指南+PDQ）（首先1L，如果无1L可用多语含英语）+防盗贴纸（1pcs/PCS)+箱唛+箱唛贴纸(1PCS/CTN),防盗贴纸及其
位置图跟回PO#4500086073
Remark: 1,请务必按时完货，验货并请按期送货入货代指定仓库，如果晚了导致船期Delay将会有罚金产生或者客户要求空运，所产生的罚金和空运费由工厂承担。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
3.外箱材质要求K=B；
4.此单需使用KMART封箱胶上下工字型封箱;从2019年6月开始，要用KMART 新版封箱胶带，此单要用"ANKO"封箱胶带
5.此单出口新西兰，请按相应的澳新标准生产；
6.产品和包装上生产批号的显示格式ZURU标准日期码格式
7.RATIO:
25282:Baby Shark(yellow)/ Mummy Shark(pink)/ Daddy Shark(blue) =1:1:1; include 3pcs AAA carbon batteries;
9258:Unicorn/Lion/Bunny/Flamingo/Elephant/Kitten。</t>
  </si>
  <si>
    <t>4500090168-10</t>
  </si>
  <si>
    <t>7734 9GQ2-S001</t>
  </si>
  <si>
    <t>日期码格式：ZURU 标准格式 日期：按实际生产日期
Packaging Info: 1,77349GQ2 MA英语UPC版本包装（收缩膜+收藏指南+PDQ）（首先1L，如果无1L可用多语含英语）+防盗贴纸（1pcs/PCS)+箱唛+箱唛贴纸(1PCS/CTN),防盗贴纸及其
位置图跟回PO#4500086073
Remark: 1,请务必按时完货，验货并请按期送货入货代指定仓库，如果晚了导致船期Delay将会有罚金产生或者客户要求空运，所产生的罚金和空运费由工厂承担。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
3.外箱材质要求K=B；
4.此单需使用KMART封箱胶上下工字型封箱;从2019年6月开始，要用KMART 新版封箱胶带，此单要用"ANKO"封箱胶带
5.此单出口澳大利亚，请按相应的澳新标准生产；
6.产品和包装上生产批号的显示格式ZURU标准日期码格式
7.RATIO:</t>
  </si>
  <si>
    <t>4500090173-10</t>
  </si>
  <si>
    <t>日期码格式：ZURU 标准格式 日期：按实际生产日期
Packaging Info: 1,77349GQ2 MA英语UPC版本包装（收缩膜+收藏指南+PDQ）（首先1L，如果无1L可用多语含英语）+防盗贴纸（1pcs/PCS)+箱唛+箱唛贴纸(1PCS/CTN),防盗贴纸及其
位置图跟回PO#4500086073
Remark: 1,请务必按时完货，验货并请按期送货入货代指定仓库，如果晚了导致船期Delay将会有罚金产生或者客户要求空运，所产生的罚金和空运费由工厂承担。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
3.外箱材质要求K=B；
4.此单需使用KMART封箱胶上下工字型封箱;从2019年6月开始，要用KMART 新版封箱胶带，此单要用"ANKO"封箱胶带
5.此单出口新西兰，请按相应的澳新标准生产；
6.产品和包装上生产批号的显示格式ZURU标准日期码格式</t>
  </si>
  <si>
    <t>0086-6250731-0581</t>
  </si>
  <si>
    <t>ZURU Denmark ApS</t>
  </si>
  <si>
    <t>60-77349GQ2-S002-NS</t>
  </si>
  <si>
    <t>77349GQ2-S002-NS</t>
  </si>
  <si>
    <t>12/6 取消订单</t>
  </si>
  <si>
    <t>11/8 已订</t>
  </si>
  <si>
    <t>日期码格式：ZURU 标准格式 日期：按实际生产日期
Packaging Info: 
77349GQ2：MA 3L包装+无香味贴纸+EAN条码贴纸+警告语贴纸+客版无香味收藏指南+3张PDQ贴纸-正面*1&lt;(&gt;&amp;&lt;)&gt;侧面*2（覆盖带香味的logo）Remark: 1. 包装如含PVC,请改为PET，工厂请提出；
贴球面的客版贴纸工厂需要订购合成纸贴纸
2. 产品要求无硼无香
77349GQ2-4894680023888-10193052043754
77349GQ2：NON-Scent;Remove 10 little scented products:Facial cream #11#12,Perfume#16#17#18#19#20#21,Bubble tea #42#43;</t>
  </si>
  <si>
    <t>Rose</t>
  </si>
  <si>
    <t>2O3Z1Y3R</t>
  </si>
  <si>
    <t>4500092268-10</t>
  </si>
  <si>
    <t>12/28 取消订单</t>
  </si>
  <si>
    <t>空白外箱正面印ZURU Logo+SSCC</t>
  </si>
  <si>
    <t>日期码格式：ZURU 标准格式 日期：按实际生产日期
Packaging Info:
Remark: 1.Amazon FOB订单，出口US。外箱最长边不能超过25" （超过了，case pack只能为1），不符合要求的大货，一律不接受。
2. 空白外箱正面印ZURU Logo+SSCC LABEL（客供贴纸), 侧面印MADE IN CHINA+carton size(以工厂实际尺寸为准,单位: inch) ,无shipping mark，日期使用ZURU
标准版本 SSCC Label 显示的是客人自己的item#, SSCC Label 贴在外箱正面的正中间，贴一面即可，跟单订购，贴纸离外箱距必须至少3cm, 每一张SSCC label
都是唯一且有不同流水及条码的，没有损耗，绝对不可贴错 ，否则贴错或损坏一张会导致全部都错，千万要注意.
3.ZURU MA包装1L。
77366:2PK 77198-S001 in PVC tube, 两个球的配比不能重复。 铜版纸AW跟翻单4500070743. Amazon 独家UPC：193052035974</t>
  </si>
  <si>
    <t>7ZVE31PA</t>
  </si>
  <si>
    <t>4500092275-40</t>
  </si>
  <si>
    <t>日期码格式：ZURU 标准格式 日期：按实际生产日期
Packaging Info:
Remark: 1.Amazon FOB订单，出口US。外箱最长边不能超过25" （超过了，case pack只能为1），不符合要求的大货，一律不接受。
2. 空白外箱正面印ZURU Logo+SSCC LABEL（客供贴纸), 侧面印MADE IN CHINA+carton size(以工厂实际尺寸为准,单位: inch) ,无shipping mark，日期使用ZURU
标准版本 SSCC Label 显示的是客人自己的item#, SSCC Label 贴在外箱正面的正中间，贴一面即可，跟单订购，贴纸离外箱距必须至少3cm, 每一张SSCC label
都是唯一且有不同流水及条码的，没有损耗，绝对不可贴错 ，否则贴错或损坏一张会导致全部都错，千万要注意.
3.ZURU MA包装1L。
邮包盒上要打上日期码
77366:2PK 77198-S001 in PVC tube, 两个球的配比不能重复。 铜版纸AW跟翻单4500070743. Amazon 独家UPC：193052035974</t>
  </si>
  <si>
    <t>MEIJER</t>
  </si>
  <si>
    <t>4500092766-10</t>
  </si>
  <si>
    <t>77349SQ1-S001</t>
  </si>
  <si>
    <t>日期码格式：ZURU 标准格式 日期：按实际生产日期
Packaging Info: 1. MA 1L + 客版PDQ
2. 客人指定箱唛排版
Remark: 出货前 Zuru QC 验货</t>
  </si>
  <si>
    <t>Sophia</t>
  </si>
  <si>
    <t>4500092767-10</t>
  </si>
  <si>
    <t>TOKMANNI - DOM</t>
  </si>
  <si>
    <t>20-77349GQ2-S001-NS</t>
  </si>
  <si>
    <t>77349GQ2-S001-NS</t>
  </si>
  <si>
    <t>2/16 取消订单</t>
  </si>
  <si>
    <t>有干燥剂</t>
  </si>
  <si>
    <t>日期码格式：ZURU 标准格式 日期：按实际生产日期
Packaging Info: （用于曲面的贴纸请使用合成纸）
77349GQ2:MA 3L 包装/PDQ+客版收藏指南（翻单4500086294）+1张警告语贴纸+1张EAN条码贴纸+3张PDQ贴纸（覆盖PDQ上有香味图案）
Remark: 1.配比信息
77349GQ2:NON-Scent;Remove 10 little scented products:Facial cream #11#12,Perfume #16#17#18#19#20#21,Bubble tea #42#43;
2.产品要求无硼无香（如果没有此类问题，请忽略此点）
3.此订单客户每个ITEM都需各3套大货样用于签板，并且有第三方验货，请提前多备料
4.包装不可用PVC材质,要用PET替代
5.此单每款每个外箱都要放一包或者两包干燥剂，请按照供应商建议和干燥剂指引安排，船务通知要做柜时，做柜工厂需准备货柜内的干燥剂，干燥剂需要做柜工厂
自行找指定供应商订购。（参考订单4500079961）
6.请使用双坑外箱，单坑外箱会备注在验货报告中</t>
  </si>
  <si>
    <t>4500092508-10</t>
  </si>
  <si>
    <t>77349GQ1-S001</t>
  </si>
  <si>
    <t>2/15 取消订单</t>
  </si>
  <si>
    <t>日期码格式：ZURU 标准格式 日期：按实际生产日期
Packaging Info: 1.MA3L包装+客版3LPDQ（翻单4500083808）+价格贴纸(跟单提供，工厂无需安排）
2.价格贴纸覆盖收缩膜上的UPC条码且不要盖住红色小鬼头，先贴一个球发张照片让跟单确认下
Remark:
Order Modifiable</t>
  </si>
  <si>
    <t>Jasmine chen</t>
  </si>
  <si>
    <t>北美洲</t>
  </si>
  <si>
    <t>1A5A9G4S</t>
  </si>
  <si>
    <t>4500094726-10</t>
  </si>
  <si>
    <t>77410-S001</t>
  </si>
  <si>
    <t>2代迷你小手袋
2只装入PVC圆筒</t>
  </si>
  <si>
    <t>2/17 取消订单</t>
  </si>
  <si>
    <t>空白外箱正面印ZURU Logo+SSCC LABEL（客供贴纸), 侧面印MADE IN CHINA+carton size</t>
  </si>
  <si>
    <t>日期码格式：ZURU 标准格式 日期：按实际生产日期
Packaging Info: 出CA要无硼版,语言至少要英法2L，只有英语不能出货
77410 2PK #77349入PVC圆筒。2PK铜版纸,收缩膜,收藏指南,说明书均为MA 3L标版。（两个球的配比不能重复）。
Remark: 1.Amazon FOB订单，出口CA。外箱最长边不能超过25" （超过了，case pack只能为1），不符合要求的大货，一律不接受。
2. 空白外箱正面印ZURU Logo+SSCC LABEL（客供贴纸), 侧面印MADE IN CHINA+carton size(以工厂实际尺寸为准,单位: inch) ,无shipping mark，日期使用ZURU
标准版本 SSCC Label 显示的是客人自己的item#, SSCC Label 贴在外箱正面的正中间，贴一面即可，跟单订购，贴纸离外箱距必须至少3cm, 每一张SSCC label
都是唯一且有不同流水及条码的，没有损耗，绝对不可贴错 ，否则贴错或损坏一张会导致全部都错，千万要注意.</t>
  </si>
  <si>
    <t>4500097232-10</t>
  </si>
  <si>
    <t>3/17 取消订单</t>
  </si>
  <si>
    <t>日期码格式：ZURU 标准格式 日期：按实际生产日期
Packaging Info: 1.ZURU MA UPC 现有版本包装 + 客供价格贴纸，出口美国。
Remark: 1.ZURU MA UPC 现有版本包装 + 客供价格贴纸，出口美国。
2.价格贴纸位于包装正面右下角，不挡住重要信息即可，可适当调整
，价格贴纸由跟单提供。
3.标准日期码格式，产品和包装必须有日期码，所有日期码必须一致(但日期不可为周末)。
4.同个产品同个货期不可出现不同的包装。</t>
  </si>
  <si>
    <t>Maggie Ruan</t>
  </si>
  <si>
    <t>AKMRH-A</t>
  </si>
  <si>
    <t>4500094129-20</t>
  </si>
  <si>
    <t>暂停生产</t>
  </si>
  <si>
    <t>3/14取消</t>
  </si>
  <si>
    <t>日期码格式：ZURU 标准格式 日期：按实际生产日期
Packaging Info: 1.#77425: MA UPC 包装
Remark: 1. MA UPC包装，出美国
2. ZURU 标准日期码格式
3. 整柜出货</t>
  </si>
  <si>
    <t>Cynthia Li</t>
  </si>
  <si>
    <t>MO20230407</t>
  </si>
  <si>
    <t>MO20230407-10</t>
  </si>
  <si>
    <t>77349SLB-S001
1. 包装要求
77349: MA 1L收缩膜+MA 1L纸袋+MA 收藏指南+MA 1L PDQ, 翻单：4500084502
每pcs产品上要贴1张RFID贴纸，贴纸由ZURU提供，贴纸位置请严格按照我们签回的签板；
2. 外箱印刷带条码的RFID箱唛：ZURU logo色带+RFID紫色色带+WM Dept.图标+RFID图标+ITF-14条码，ITF条码只印刷在正唛一面，箱唛资料待提供，在加印的时候确保条形码能扫描出来，外箱侧面任一角落加印："MADE IN CHINA" 字样；
3. 每个slip sheet上面贴一张艾利贴纸和一张普通贴纸（两张均可A4纸打印），slip sheet打印的普通贴纸的尺寸不能比艾利贴纸小，普通贴纸内容见附件；
4. 在产品上和包装上要有日期码、以及要有MADE IN CHINA和ZURU字样；
5. 产品如有扎带口要剪平，不能刮手。
6. 此单需要验货，请多备料
7. 此单以slip sheet出货，77349：18pcs/PDQ/CTN；1080pcs/60CTN/Slip Sheet</t>
  </si>
  <si>
    <t>TOYS "R" US (CANADA) LTD.</t>
  </si>
  <si>
    <t>4500101110-90</t>
  </si>
  <si>
    <t>6/14 取消订单</t>
  </si>
  <si>
    <t>6/19 SGS验货</t>
  </si>
  <si>
    <t>日期码格式：ZURU INC(BVI) 标准格式 日期：按实际生产日期
Packaging Info: 1. 出口加拿大市场。不指定生产日期，产品/包装按照Zuru生产日期格式，箱唛格式为YYYYMMDD，箱唛上面的时
间要求与产品已经包装上面的一样。
77349GQ2 MA 3L UPC 版本， UPC#193052043757.
Remark: 2. 需要第三方SGS验货，验货时间暂定2023/6/16，每款每色请备1PC完整带包装样品供验货人员参考。用完后若无损坏可以放回大货里。</t>
  </si>
  <si>
    <t>Abby Mai</t>
  </si>
  <si>
    <t>4500101899-20</t>
  </si>
  <si>
    <t>7/7 第三方验货</t>
  </si>
  <si>
    <t>日期码格式：ZURU INC(BVI) 标准格式 日期：按实际生产日期
Packaging Info: 1. 出口加拿大市场。不指定生产日期，产品/包装按照Zuru生产日期格式，箱唛格式为YYYYMMDD，箱唛上面的时
间要求与产品已经包装上面的一样。
77349GQ2 MA 3L UPC 版本， UPC#193052043757.
Remark: 2. 需要第三方SGS验货，验货时间暂定2023/7/07，每款每色请备1PC完整带包装样品供验货人员参考。用完后若无损坏可以放回大货里。</t>
  </si>
  <si>
    <t>4500101899-70</t>
  </si>
  <si>
    <t>Loblaws INC.</t>
  </si>
  <si>
    <t>4860771028 32</t>
  </si>
  <si>
    <t>4500106200-10</t>
  </si>
  <si>
    <t>MSLD51-S002</t>
  </si>
  <si>
    <t>混装</t>
  </si>
  <si>
    <t>6/13 取消订单</t>
  </si>
  <si>
    <t>日期码格式：ZURU INC(BVI) 标准格式 日期：按实际生产日期
Packaging Info: 球的收缩膜， 说明书MA 3L（MA英法2L 也可以）
展示架：客版英法双语,同PO#4500104616 ,可以一起订购展示架物料
Remark: 出加拿大
Zuru验货.日期跟踪码：产品外包装及产品本身都必须有日期跟踪码，ZURU标准格式日期码</t>
  </si>
  <si>
    <t>MSLD51-S002-V3</t>
  </si>
  <si>
    <t>4500107022-30</t>
  </si>
  <si>
    <t>取消</t>
  </si>
  <si>
    <t>日期码格式： 标准格式 日期：按实际生产日期
Packaging Info: 1.ZURU MA UPC 现有版本包装 + 客供价格贴纸，出口美国。
Remark: 1.ZURU MA UPC 现有版本包装 + 客供价格贴纸，出口美国。
2.价格贴纸位于包装正面右下角，不挡住重要信息即可，可适当调整
，价格贴纸由跟单提供。
3.标准日期码格式，产品和包装必须有日期码，所有日期码必须一致(但日期不可为周末)。
4.同个产品同个货期不可出现不同的包装。
5. PVC 桶中球不能出现完全 相同的ASSORTMENT ， 即同一个PVC 中球里的ASSORTMENT 需要不同。 以免消费者失望。
6.PVC 桶上加上 5 surprise 的LOGO 贴纸 （ ZURU 统一要求的）</t>
  </si>
  <si>
    <t>Amazon
FR2H5TSN1Y</t>
  </si>
  <si>
    <t>4500106695-20</t>
  </si>
  <si>
    <t>空白外箱（加印带Zuru字样的黑色色带，一正一侧需印"Made in China</t>
  </si>
  <si>
    <t>日期码格式：ZURU INC(BVI) 标准格式 日期：按实际生产日期
Packaging Info: Amazon UK,FR,DE,IT,ES
3.77410：全套MA-3L包装，PVC Tube加1张警语贴纸（翻单po#4500093757).
Remark: 1.空白外箱（加印带Zuru字样的黑色色带，一正一侧需印"Made in China"字样,除了邮包盒直接做外箱的产品)+SSCC LABEL一张, 无箱唛.
(SSCC LABEL贴在外箱正面的正中间，贴一面即可,贴纸离外箱边距必须至少3CM), SSCC贴纸由工厂与勤得直接采购，每一张SSCC Label都是唯一且有不同流水及条
码
的，且需要检查条码是否能正常扫描，如工厂不按此要求导致贴纸有任何问题产生的罚款将由工厂承担一切责任 。"
2. 出往UK的产品+包装务必打上UKCA logo ，不然客人会退货且当地会有罚款。
3.订单必须经过ZURU QC验货并且通过后方可出货。
4.法国订单要求包装不使用矿物油，请按要求提供以下其中一份文件再出货 ，产品
出到法国被相关部门抽检出现包装不符合此要求的，供应商需要为此承担责任，故此请严格把关 。
-油墨物质""由1 ~ 7个芳香环组成的MOAH""的包装检测报告，要求限值≤1.0%;
-包装材料清单，包括包装油墨或物质的信息
-油墨制造商的证书。"</t>
  </si>
  <si>
    <t>77410-S001-3L-V3</t>
  </si>
  <si>
    <t>Amazon
IT1DGSCQJY</t>
  </si>
  <si>
    <t>4500106695-70</t>
  </si>
  <si>
    <t>Amazon
DE27522FJV</t>
  </si>
  <si>
    <t>4500106695-160</t>
  </si>
  <si>
    <t>4500106743-50</t>
  </si>
  <si>
    <t>7/4 取消订单</t>
  </si>
  <si>
    <t>日期码格式：ZURU INC(BVI) 标准格式 日期：按实际生产日期
Packaging Info: 
5.77349GQ2: MA英语UPC版本包装（收缩膜+收藏指南+PDQ）（首先1L，如果无1L可用多语含英语）PDQ和产品包装版本尽量配套使用+防盗贴纸（1pcs/PCS)+箱唛+箱唛贴纸(1PCS/CTN),防盗贴纸及其位置图跟回PO#4500086073；
Remark: 1,请务必按时完货，验货。并且按期送货入货代指定仓库，如果晚了导致船期Delay将会有罚金产生或者客户要求空运，所产生的罚金和空运费由工厂承担。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外箱贴纸请同纸箱瓦楞纸方向（竖纹向）垂直，即外箱贴纸横着贴(注意条码不要被胶带粘住），贴1pc，贴1面正唛，封箱胶纸不能挡住贴纸内容。外箱贴纸
离外箱边距离不少于2cm。
3.外箱材质跟回ZURU标准；
4.此单需使用KMART封箱胶上下工字型封箱;从2019年6月开始，要用KMART 新版封箱胶带，此单要用"ANKO"封箱胶带
5.此单出口澳大利亚，请按相应的澳新标准生产；
6.产品和包装上生产批号的显示格式ZURU标准日期码格式
7.外箱信息不可手写，重量和体积需要与实际的一致(不可手写）
8.RATIO:</t>
  </si>
  <si>
    <t>4500107082-20</t>
  </si>
  <si>
    <t>日期码格式：ZURU INC(BVI) 标准格式 日期：按实际生产日期
Packaging Info:
2.77349GQ2: MA英语UPC版本包装（收缩膜+收藏指南+PDQ）（首先1L，如果无1L可用多语含英语）+防盗贴纸（1pcs/PCS)+箱唛+箱唛贴纸(1PCS/CTN),防盗贴纸及其位置图跟回PO#4500086073，PDQ和产品包装版本尽量配套使用；
Remark: 1,请务必按时完货，验货。并且按期送货入货代指定仓库，如果晚了导致船期Delay将会有罚金产生或者客户要求空运，所产生的罚金和空运费由工厂承担。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外箱贴纸请同纸箱瓦楞纸方向（竖纹向）垂直，即外箱贴纸横着贴(注意条码不要被胶带粘住），贴1pc，贴1面正唛，封箱胶纸不能挡住贴纸内容。外箱贴纸
离外箱边距离不少于2cm。
3.外箱材质为ZURU标准；
4.此单需使用KMART封箱胶上下工字型封箱;从2019年6月开始，要用KMART 新版封箱胶带，此单要用"ANKO"封箱胶带
5.此单出口澳大利亚，请按相应的澳新标准生产；
6.产品和包装上生产批号的显示格式ZURU标准日期码格式
7.外箱信息不可手写，重量和体积需要与实际的一致(不可手写）
8.RATIO:</t>
  </si>
  <si>
    <t>0086-8606346-0584</t>
  </si>
  <si>
    <t>4500109043-10</t>
  </si>
  <si>
    <t>8/11 取消订单</t>
  </si>
  <si>
    <t>日期码格式：ZURU INC(BVI) 标准格式 日期：按实际生产日期
Packaging Info: MA+1L
Remark: 1.ITEM#: 77425-S001-5 SURPRISE-FASHION MINI BRANDS-SERIES 1 DREAM WARDROBE Color Box,Bulk,4pcs,No Inner,STD Color
2.MA+1L，4pcs/CTN, 产品UPC 显示193052050274。
3. 外箱正唛左上角粘贴条码箱贴纸，每箱只贴一张，由zuru自行下单给艾利订购，外箱贴纸显示DPCI#086-02-4559，UPC显示10193052050271.
4. 产品和包装上要印刷tracking code信息，格式为ZURU常规
5. 出货方式：货代自提</t>
  </si>
  <si>
    <t>Holly</t>
  </si>
  <si>
    <t>4329905357HOU
STON</t>
  </si>
  <si>
    <t>4500107580-10</t>
  </si>
  <si>
    <t>8/14 取消订单</t>
  </si>
  <si>
    <t>8/28 BV验货</t>
  </si>
  <si>
    <t>箱唛翻单：4500099784</t>
  </si>
  <si>
    <t>日期码格式：ZURU DGYYYYMMDD CHINA(日期避开周末和法定节假日即可） 日期：按实际生产日期
Packaging Info: 1. 包装要求
77349: MA 1L收缩膜+MA 1L纸袋+MA 收藏指南+MA 1L PDQ, 翻单：4500084502，箱唛翻单：4500099784
每pcs产品上要贴1张RFID贴纸，贴纸由ZURU提供，贴纸位置请严格按照我们签回的签板；
Remark: 1. 包装要求
77349: MA 1L收缩膜+MA 1L纸袋+MA 收藏指南+MA 1L PDQ, 翻单：4500084502，箱唛翻单：4500099784
每pcs产品上要贴1张RFID贴纸，贴纸由ZURU提供，贴纸位置请严格按照我们签回的签板；
2. 外箱印刷带条码的RFID箱唛：ZURU logo色带+RFID紫色色带+WM Dept.图标+RFID图标+ITF-14条码，ITF条码只印刷在正唛一面，箱唛资料待提供，在加印的时候
确保条形码能扫描出来，外箱侧面任一角落加印："MADE IN CHINA" 字样；
3. 每个slip sheet上面贴一张艾利贴纸（不干胶贴纸）和一张普通贴纸（A4纸），slip sheet打印的普通贴纸的尺寸不能比艾利贴纸小，普通贴纸内容见附件；
4. 在产品上和包装上要有日期码、以及要有MADE IN CHINA和ZURU字样；
5. 产品如有扎带口要剪平，不能刮手。
6. 此单需要验货，请多备料
7. 此单以slip sheet出货，77349：18pcs/PDQ/CTN；1080pcs/60CTN/Slip Sheet</t>
  </si>
  <si>
    <t>4329905360RID
GEVILLE SC</t>
  </si>
  <si>
    <t>4500107580-30</t>
  </si>
  <si>
    <t>4329905358MOB
ILE</t>
  </si>
  <si>
    <t>4500107580-50</t>
  </si>
  <si>
    <t>4329905356STA
TESBORO</t>
  </si>
  <si>
    <t>4500107580-60</t>
  </si>
  <si>
    <t>4329905410RID
GEVILLE SC</t>
  </si>
  <si>
    <t>4500107585-10</t>
  </si>
  <si>
    <t>9/11 BV验货</t>
  </si>
  <si>
    <t>4329905407HOU
STON</t>
  </si>
  <si>
    <t>4500107585-20</t>
  </si>
  <si>
    <t>4329905409ELW
OOD</t>
  </si>
  <si>
    <t>4500107585-30</t>
  </si>
  <si>
    <t>9/7 BV验货</t>
  </si>
  <si>
    <t>4329905408MOB
ILE</t>
  </si>
  <si>
    <t>4500107585-40</t>
  </si>
  <si>
    <t>0086-9350191-0581</t>
  </si>
  <si>
    <t>4500110632-10</t>
  </si>
  <si>
    <t>8/24 取消订单</t>
  </si>
  <si>
    <t>0086-9203336-0584</t>
  </si>
  <si>
    <t>4500110634-10</t>
  </si>
  <si>
    <t>0086-9116626-0581</t>
  </si>
  <si>
    <t>4500111249-10</t>
  </si>
  <si>
    <t>0086-8885297-0581</t>
  </si>
  <si>
    <t>4500111093-10</t>
  </si>
  <si>
    <t>日期码格式：ZURU INC(BVI) 标准格式 日期：按实际生产日期
Packaging Info: MA 1L 收缩膜，MA 3L PDQ；
Remark: 1. # 77349GQ2-S002 : 18pcs PCS/PDQ/CTN
2. 产品包装 MA 1L 收缩膜，UPC 显示193052043757；MA 3L PDQ；
3. 产品和包装上均要印刷tracking code信息，格式为ZURU常规格式
4. 外箱正唛左上角粘贴条码箱贴纸，每箱只贴一张由ZURU订购,DPCI 显示 086-02-8442，来料显示10193052043754
5. 出货方式： 货代自提</t>
  </si>
  <si>
    <t>65HMI2QR</t>
  </si>
  <si>
    <t>4500110557-10</t>
  </si>
  <si>
    <t>8/30 取消订单</t>
  </si>
  <si>
    <t>外箱正面印ZURU Logo+SSCC LABEL（客供贴纸), 侧面印item#</t>
  </si>
  <si>
    <t>日期码格式：ZURU INC(BVI) 标准格式 日期：按实际生产日期
Packaging Info: 77410 2PK #77349入PVC圆筒。2PK铜版纸,收缩膜,收藏指南，说明书均为MA 1L标版。（两个球的配比不能重复）。
Remark: 1.Amazon FOB订单，出口US。外箱最长边不能超过25" （超过了，case pack只能为1），不符合要求的大货，一律不接受。
2. 外箱正面印ZURU Logo+SSCC LABEL（客供贴纸), 侧面印item#（订单上显示的SKU#)+carton size(以工厂实际尺寸为准,单位: inch) +MADE IN CHINA,日期使用Z
URU 标准版本 SSCC Label 显示的是客人自己的item#, SSCC Label 贴在外箱正面的正中间，贴一面即可，跟单订购，贴纸离外箱距必须至少3cm, 每一张SSCC labe
l 都是唯一且有不同流水及条码的，没有损耗，绝对不可贴错 ，否则贴错或损坏一张会导致全部都错，千万要注意.
SSCC 贴纸务必要在正中间(可以覆盖Logo &lt;(&gt;&amp;&lt;)&gt; 箱唛), 否则会影响到仓库扫描识别
3.日期码使用ZURU标准版本
如有邮包盒，邮包盒上要打日期码
4.按照客户PO# 装柜/箱号顺序装柜，跟单会提前给到装柜计划。请大货生产/仓库存放时留意，以便装柜时不混乱（装错/装漏/找不到货号）</t>
  </si>
  <si>
    <t>4500110557-20</t>
  </si>
  <si>
    <t>4500110557-30</t>
  </si>
  <si>
    <t>4500110557-40</t>
  </si>
  <si>
    <t>4500110557-50</t>
  </si>
  <si>
    <t>4500110557-60</t>
  </si>
  <si>
    <t>4500110557-70</t>
  </si>
  <si>
    <t>4500110557-80</t>
  </si>
  <si>
    <t>4500110557-90</t>
  </si>
  <si>
    <t>4500110557-100</t>
  </si>
  <si>
    <t>4500110557-110</t>
  </si>
  <si>
    <t>4500110557-120</t>
  </si>
  <si>
    <t>4W1DAKTV</t>
  </si>
  <si>
    <t>4500110409-120</t>
  </si>
  <si>
    <t>日期码格式：ZURU INC(BVI) 标准格式 日期：按实际生产日期
Packaging Info: ZURU MA 1L
77410 2PK #77349入PVC圆筒。2PK铜版纸,收缩膜,收藏指南，说明书均为MA 1L标版。（两个球的配比不能重复）。
Remark: 1.Amazon FOB订单，出口US。外箱最长边不能超过25" （超过了，case pack只能为1），不符合要求的大货，一律不接受。
2. 外箱正面印ZURU Logo+SSCC LABEL（客供贴纸), 侧面印item#（订单上显示的SKU#)+carton size(以工厂实际尺寸为准,单位: inch) +MADE IN CHINA,日期使用Z
URU 标准版本 SSCC Label 显示的是客人自己的item#, SSCC Label 贴在外箱正面的正中间，贴一面即可，跟单订购，贴纸离外箱距必须至少3cm, 每一张SSCC labe
l 都是唯一且有不同流水及条码的，没有损耗，绝对不可贴错 ，否则贴错或损坏一张会导致全部都错，千万要注意.
SSCC 贴纸务必要在正中间(可以覆盖Logo &lt;(&gt;&amp;&lt;)&gt; 箱唛), 否则会影响到仓库扫描识别
3.日期码使用ZURU标准版本
如有邮包盒，邮包盒上要打日期码
4.按照客户PO# 装柜/箱号顺序装柜，跟单会提前给到装柜计划。请大货生产/仓库存放时留意，以便装柜时不混乱（装错/装漏/找不到货号）</t>
  </si>
  <si>
    <t>4500110409-130</t>
  </si>
  <si>
    <t>4500110409-140</t>
  </si>
  <si>
    <t>4500110409-150</t>
  </si>
  <si>
    <t>4500110409-160</t>
  </si>
  <si>
    <t>4AFW48KA</t>
  </si>
  <si>
    <t>4500110672-170</t>
  </si>
  <si>
    <t>日期码格式：ZURU INC(BVI) 标准格式 日期：按实际生产日期
Packaging Info: ZURU MA1L
77410 2PK #77349入PVC圆筒。2PK铜版纸,收缩膜,收藏指南，说明书均为MA 1L标版。（两个球的配比不能重复）。
Remark: 1.Amazon FOB订单，出口US。外箱最长边不能超过25" （超过了，case pack只能为1），不符合要求的大货，一律不接受。
2. 外箱正面印ZURU Logo+SSCC LABEL（客供贴纸), 侧面印item#（订单上显示的SKU#)+carton size(以工厂实际尺寸为准,单位: inch) +MADE IN CHINA,日期使用Z
URU 标准版本 SSCC Label 显示的是客人自己的item#, SSCC Label 贴在外箱正面的正中间，贴一面即可，跟单订购，贴纸离外箱距必须至少3cm, 每一张SSCC labe
l 都是唯一且有不同流水及条码的，没有损耗，绝对不可贴错 ，否则贴错或损坏一张会导致全部都错，千万要注意.
SSCC 贴纸务必要在正中间(可以覆盖Logo &lt;(&gt;&amp;&lt;)&gt; 箱唛), 否则会影响到仓库扫描识别
3.日期码使用ZURU标准版本
邮包盒上要打日期码
4.按照客户PO# 装柜/箱号顺序装柜，跟单会提前给到装柜计划。请大货生产/仓库存放时留意，以便装柜时不混乱（装错/装漏/找不到货号）</t>
  </si>
  <si>
    <t>4500110672-180</t>
  </si>
  <si>
    <t>4500111127-10</t>
  </si>
  <si>
    <t>9/14 取消订单</t>
  </si>
  <si>
    <t>指定日期码 270923</t>
  </si>
  <si>
    <t>贴纸翻4500093004</t>
  </si>
  <si>
    <t>日期码格式：270923 日期：
Packaging Info: 1.包装
77349GQ2:MA UPC PKG+1张进口商贴纸；贴纸翻4500093004
2.产品和产品包装上的日期码一致，为270923 (进口商贴纸上已经去掉日期码，请按要求在包装上打日期码， 进口商贴纸不覆盖日期码）
Remark: 1.共出4港口， 不同港口数量信息请见订单行项目，并请参考箱唛资料，港口不同，箱唛资料也不同；
2.箱唛不可出现任何手写内容，重量与实际一致且不可手写
3. 此单出澳大利亚，请按澳洲标准生产并满足当地法规要求</t>
  </si>
  <si>
    <t>Lillian Li</t>
  </si>
  <si>
    <t>4500111127-20</t>
  </si>
  <si>
    <t>4500111127-30</t>
  </si>
  <si>
    <t>4500111127-40</t>
  </si>
  <si>
    <t>4500112169-10</t>
  </si>
  <si>
    <t>77485SLB-S002</t>
  </si>
  <si>
    <t>3代迷你小手袋卡板装</t>
  </si>
  <si>
    <t>日期码格式：ZURU INC(BVI) 标准格式 日期：按实际生产日期
Packaging Info: 1.77485SLB:MA 最新包装+spec code贴纸(SPEC CODE:193052057105.2023）+MAPDQ
UPC#193052057105，请先检查条码是否正确再安排做货；
12pcs/Gravity PDQ/CTN,960PCS/80CTN/SLIP SHEET
一共需要4套slip sheet；
Slip Sheet打包好后，需要在正唛、侧唛右下角各贴一张slip sheet贴纸，直接用A4纸打印出来即可，贴纸尺寸160mm width x 140mm high；
Slip Sheet尺寸限制为100*115*130CM，一旦实际SLIP SHEET尺寸超过这个尺寸，请提前通知ZURU跟单，需同客人确认才能量产和出货;
Remark:
1.请在10/24准时提供客人格式自检报告给ZURU跟单发给客人审批了才能出货
2.产品需要打UKCA Mark，包装也需要 印有UKCA，否则不符合法规客人会退货有罚款产生</t>
  </si>
  <si>
    <t>4500114429-10</t>
  </si>
  <si>
    <t>10/12 取消订单</t>
  </si>
  <si>
    <t>贴纸和位置图翻取消的PO#4500112169（之前已提供过贴纸文档</t>
  </si>
  <si>
    <t>日期码格式：ZURU INC(BVI) 标准格式 日期：按实际生产日期
Packaging Info: 1.77485SLB:MA 最新包装+spec code贴纸(SPEC CODE:193052057105.2023）---贴纸和位置图翻取消的PO#4500112169（之前已提供过贴纸文档);
UPC#193052057105，请先检查条码是否正确再安排做货；
77485GQ3-S002 12PCS/PDQ/CTN(CTN SIZE:22*22.5*30.1CM), 20*4H=80CTN/SLB=960PCS/SLIP SHEET，一共需要1套slip sheet；
Slip Sheet打包好后，需要在正唛、侧唛右下角各贴一张slip sheet贴纸，直接用A4纸打印出来即可，贴纸尺寸160mm width x 140mm high；
Slip Sheet尺寸限制为100*115*130CM，一旦实际SLIP SHEET尺寸超过这个尺寸，请提前通知ZURU跟单，需同客人确认才能量产和出货;
Remark: 1.请在11/27准时提供客人格式自检报告给ZURU跟单发给客人审批了才能出货
2.产品需要打UKCA Mark，包装也需要 印有UKCA，否则不符合法规客人会退货有罚款产生</t>
  </si>
  <si>
    <t>TESCO UK</t>
  </si>
  <si>
    <t>380-89153</t>
  </si>
  <si>
    <t>4500113985-10</t>
  </si>
  <si>
    <t>77485GQ3-S003</t>
  </si>
  <si>
    <t>日期码格式：ZURU INC(BVI) 标准格式 日期：按实际生产日期
Packaging Info: 1. 77485GQ3: MA最新版包装+MA PDQ（12pcs/Gravity PDQ)
UPC条码#193052057105，请先检查条码是否正确再安排做货；
Remark: 1.订单出英国，产品及包装需要印UKCA图标，包装需要有ZURU UK LTD/ZURU France地址信息，QC同事请核查，如有问题与跟单确认。
2.裝櫃必須按TPND順序 (條形碼貼紙或正嘜必須要朝外向車門外)
3.外箱上有条码要求，排版时请留意并请确保条码清晰可扫描（封箱胶不要黏到条码上), 否则客人会有罚款；
4.箱唛印刷的BD条码格式是GS128 (EAN-128) sub-set C; ITF 条码格式是ITF-14格式</t>
  </si>
  <si>
    <t>4500114373-50</t>
  </si>
  <si>
    <t>取消订单 11/9</t>
  </si>
  <si>
    <t>日期码格式：ZURU INC(BVI) 标准格式 日期：按实际生产日期
Packaging Info: 1.出口加拿大市场。MA UPC 3L 包装。 产品，包装日期吗按Zuru 标准格式。箱唛date code YYYYMMDD格式，产品，包装和箱唛上面的时间要一样。
77485GQ2 UPC#193052057105
Remark: 2. 需要第三方SGS验货，验货时间暂定2023/11/30，每款每色请备1PC完整带包装样品供验货人员参考。用完后若无损坏可以放回大货里。</t>
  </si>
  <si>
    <t>4500114373-110</t>
  </si>
  <si>
    <t>4500114374-30</t>
  </si>
  <si>
    <t>日期码格式：ZURU INC(BVI) 标准格式 日期：按实际生产日期
Packaging Info: 1.出口加拿大市场。MA UPC 3L 包装。 产品，包装日期吗按Zuru 标准格式。箱唛date code YYYYMMDD格式，产品，包装和箱唛上面的时间要一样。
77485GQ2 UPC#193052057105
Remark: 2. 需要第三方SGS验货，验货时间暂定2023/12/27，每款每色请备1PC完整带包装样品供验货人员参考。用完后若无损坏可以放回大货里。</t>
  </si>
  <si>
    <t>4500114374-70</t>
  </si>
  <si>
    <t>4500114373-40</t>
  </si>
  <si>
    <t>日期码格式：ZURU INC(BVI) 标准格式 日期：按实际生产日期
Packaging Info: 1.出口加拿大市场。MA UPC 3L 包装。 产品，包装日期吗按Zuru 标准格式。箱唛date code YYYYMMDD格式，产品，包装和箱唛上面的时间要一样。
77425 UPC#193052050274
Remark: 2. 需要第三方SGS验货，验货时间暂定2023/11/30，每款每色请备1PC完整带包装样品供验货人员参考。用完后若无损坏可以放回大货里。</t>
  </si>
  <si>
    <t>4500114373-100</t>
  </si>
  <si>
    <t>ZURU France</t>
  </si>
  <si>
    <t>4500127034-20</t>
  </si>
  <si>
    <t>77485GQ7-S
002-MTS</t>
  </si>
  <si>
    <t>贴纸翻单4500126972</t>
  </si>
  <si>
    <t>日期码格式：ZURU INC(BVI) 标准格式 日期：按实际生产日期
 2.77485GQ7：MA 3Lcallout+5L warning-B 版EAN 收缩膜+一张法国和意大利环保标贴纸+MA 5L C版收藏指南+MA 3L PDQ;（贴纸翻单4500126972）；
 "1.法国内销单，ZURU 验货后即可出货；
 2.外箱EAN 14 条码参考：
 9543GQ1：20193052050322
 77485GQ7：60193052057107
 3.所有出口欧洲的产品, 法规规定禁止在包装和共公众用的印刷品中使用矿物油中含有的物质, 包装印刷油墨中含有的MOAH/MOSH的质量浓度不能超过1%, 否则出货
 到法国被抽检出现问题, 供应商需要对此负责;
 4. date code: 外箱/产品/包装 保持一致，完货后提供date code 信息以便我们保存记录做批次管理；"</t>
  </si>
  <si>
    <t>GT-057911</t>
  </si>
  <si>
    <t>4500128497-10</t>
  </si>
  <si>
    <t>日期码格式：ZURU INC(BVI) 标准格式 日期：按实际生产日期
Packaging Info: 1.77485GQ3-S001:客版case pack PDQ , MA(优先1L)+ 进口商贴纸
Remark: 1. 外箱侧唛右上角各一张贴纸 ；
2. 需要安排loading inspection (装柜现场监柜);</t>
  </si>
  <si>
    <t>HEB GROCERY COMPANY, LP</t>
  </si>
  <si>
    <t xml:space="preserve">美国 </t>
  </si>
  <si>
    <t>60X550214</t>
  </si>
  <si>
    <t>4500126776-10</t>
  </si>
  <si>
    <t>77485GQ3-S002</t>
  </si>
  <si>
    <t>日期码格式：ZURU INC(BVI) 标准格式 日期：按实际生产日期
Packaging Info: 1.  #77485GQ3 都是 - 12pcs/Gravity PDQ, 都是客版1L-PDQ，同上单4500112562；MA-1L收缩膜, UPC版。
Remark: 2. 77485GQ3,都不用提供大货样，签样同上单4500112562；
请注意在收到单后核查之前的签样是否有保留完整，如产品有更新则需要重新提供签样：2套+1PC (随机)，含PDQ的的如PDQ有更新，也需要重新提供大货样2PCS。
3.要求大货完成时间2024年8月26日，预定2024年8月27日-利丰100%大货验货加抽板，需准备6套测试样品。除抽板之外，如果产品有油漆的需要额外准备5G的油漆
涂在同 材质的胶件上，面积类似A4纸大小。
4. 产品和包装上需要印刷tracking code信息且两者印刷的内容必须一致,格式为ZURU常规。</t>
  </si>
  <si>
    <t>ZU24041201SG</t>
  </si>
  <si>
    <t>4500131403-70</t>
  </si>
  <si>
    <t xml:space="preserve">日期码格式：ZURU INC(BVI) 标准格式 日期：按实际生产日期
Packaging Info: 实际此单走20GP，待系统维护后会改单过来
MA UPC包装（1L)+1张进口商贴纸
贴纸AW、位置图待提供
Remark: </t>
  </si>
  <si>
    <t>1S6WWI9U</t>
  </si>
  <si>
    <t>4500130192-10</t>
  </si>
  <si>
    <t>3代迷你小手袋 圆筒装（无闪粉）</t>
  </si>
  <si>
    <t>空白外箱（加印带Zuru字样的最新logo，除了邮包盒直接做外箱的产品） + SSCC LABEL一张, 无箱唛.</t>
  </si>
  <si>
    <t>翻单PO#4500114776</t>
  </si>
  <si>
    <t>日期码格式：ZURU INC(BVI) 标准格式 日期：按实际生产日期
Packaging Info: Amazon FR (77486)/UK(77515):
1. 77486 : 2pcs 77485入PVC tube, 12tubes/ctn; MA 1L收缩膜包装(无barcode)+MA 3L(5L warning)C收藏指南+其他最新版MA包装，客版 3L(5L warning)彩卡包
装+1张贴纸(IT环保标); capsule need to use "no barcode"shrink wrap version 参考翻单PO#4500114776;
3. 验货日期不迟于 2024/06/05
Remark: "1.空白外箱（加印带Zuru字样的最新logo，除了邮包盒直接做外箱的产品） + SSCC LABEL一张, 无箱唛.
(SSCC LABEL贴在外箱正面的正中间，贴一面即可,贴纸离外箱边距必须至少3CM),SSCC贴纸由工厂直接跟勤得采购或者工厂自行采购，每一张SSCC Label都是唯一且
有不同流水及条码，且需要检查条码是否能正常扫描，另外，此贴纸印刷不可出现模糊，溢出及粘胶不牢易脱落等现象，如工厂不按此要求导致贴纸有任何问题产生
的罚款将由工厂承担一切责任 。’MADE IN CHINA 外箱只印一正一侧。
2. 出往UK的产品+包装务必打上UKCA logo ，否则客人会退货且当地会有罚款。
3.订单必须经过ZURU QC验货并且通过后方可出货。
4.法国订单要求包装不使用矿物油，请按要求提供以下其中一份文件再出货 ，产品出到法国被相关部门抽检出现包装不符合此要求的，供应商需要为此承担责任，
故此请严格把关 。
-油墨物质""由1 ~ 7个芳香环组成的MOAH""的包装检测报告，要求限值≤1.0%;
-包装材料清单，包括包装油墨或物质的信息
-油墨制造商的证书。
5. 每一批次出货只能有一个生产日期，不可多个生产日期混在同一批次出货；
6. 涉及到相关款式会有闪粉的或者微塑料的，请统一默认出无闪粉或者不含微塑料版本;"</t>
  </si>
  <si>
    <t>4500135946-100</t>
  </si>
  <si>
    <t>日期码格式：ZURU INC(BVI) 标准格式 日期：按实际生产日期
Packaging Info: 
77485GQ6: MA英语UPC版本包装（收缩膜和说明书, MA首选1L，如无1L可用多语且含英语的配套多语包装) + 1张防盗贴纸 (贴纸以及位置图翻单PO#4500113259）+
箱唛 + 外箱SSCC Label
Remark: 1.请务必按时完货，验货。并且按期送货入货代指定仓库，如果晚了导致船期Delay将会有罚金产生或者客户要求空运，所产生的罚金和空运费由工厂承担。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外箱贴纸请同纸箱瓦楞纸方向（竖纹向）垂直，即外箱贴纸横着贴(注意条码不要被胶带粘住），贴1pc，贴1面正唛，封箱胶纸不能挡住贴纸内容。外箱贴纸
离外箱边距离不少于2cm。
3.外箱材质为ZURU标准；
4.此单需使用KMART封箱胶上下工字型封箱;从2019年6月开始，要用KMART 新版封箱胶带，此单要用"ANKO"封箱胶带
5.此单出口澳大利亚，请按相应的澳新标准生产；
6.产品和包装上生产批号的显示格式ZURU标准日期码格式
7.外箱信息不可手写，重量和体积需要与实际的一致(不可手写）
8. 每款item装箱后的G.W.超过10KG或者CBM超过0.13,(9.5KG或者以上，四舍五入后也属于10KG) 需在外箱上加印超 重或者Bulky LOGO，若发现我们资料没有，请
帮忙提醒
1)重量超过10kg但不超过16kg且CBM不超过0.13,10-16kg 超重logo
2）CBM超过0.13且重量少于17kg，bulky logo
3）不属于以上两种情况，需要使用相应重量范围内的超重logo
4）超重logo需要在外箱四面都印刷(箱唛右上角，两面侧唛超重logo需要尽量靠近毛重)，尺寸为:110mm height* 95mm width
9. 实际外箱重量跟印在箱唛上的数据差异不能超3%，尺寸按实际数据印刷</t>
  </si>
  <si>
    <t>4500134335-80</t>
  </si>
  <si>
    <t>6/22 取消</t>
  </si>
  <si>
    <t>20102853</t>
  </si>
  <si>
    <t>4500134469-10</t>
  </si>
  <si>
    <t>防盗贴纸 (贴纸以及位置图翻单PO#4500113259）</t>
  </si>
  <si>
    <t>日期码格式：ZURU INC(BVI) 标准格式 日期：按实际生产日期
Packaging Info: 1. 77485GQ6: MA英语UPC版本包装（收缩膜和说明书, MA首选1L，如无1L可用多语且含英语的配套多语包装) + 1张防盗贴纸 (贴纸以及位置图翻单PO#4500113259）
+ 箱唛 + 外箱SSCC Label
Remark: 1.请务必按时完货，验货。并且按期送货入货代指定仓库，如果晚了导致船期Delay将会有罚金产生或者客户要求空运，所产生的罚金和空运费由工厂承担。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外箱贴纸请同纸箱瓦楞纸方向（竖纹向）垂直，即外箱贴纸横着贴(注意条码不要被胶带粘住），贴1pc，贴1面正唛，封箱胶纸不能挡住贴纸内容。外箱贴纸
离外箱边距离不少于2cm。
3.外箱材质为ZURU标准；
4.此单需使用KMART封箱胶上下工字型封箱;从2019年6月开始，要用KMART 新版封箱胶带，此单要用"ANKO"封箱胶带
5.此单出口澳大利亚，请按相应的澳新标准生产；
6.产品和包装上生产批号的显示格式ZURU标准日期码格式
7.外箱信息不可手写，重量和体积需要与实际的一致(不可手写）
8. 每款item装箱后的G.W.超过10KG或者CBM超过0.13,(9.5KG或者以上，四舍五入后也属于10KG) 需在外箱上加印超 重或者Bulky LOGO，若发现我们资料没有，请
帮忙提醒
1)重量超过10kg但不超过16kg且CBM不超过0.13,10-16kg 超重logo
2）CBM超过0.13且重量少于17kg，bulky logo
3）不属于以上两种情况，需要使用相应重量范围内的超重logo
4）超重logo需要在外箱四面都印刷(箱唛右上角，两面侧唛超重logo需要尽量靠近毛重)，尺寸为:110mm height* 95mm width
9. 实际外箱重量跟印在箱唛上的数据差异不能超3%，尺寸按实际数据印刷</t>
  </si>
  <si>
    <t>5GUDQLMC</t>
  </si>
  <si>
    <t>4500137717-70</t>
  </si>
  <si>
    <t>日期码格式：ZURU INC(BVI) 标准格式 日期：按实际生产日期
Packaging Info: 
#77486 2PK #77485入PVC圆筒。收藏指南用MA 5L, 收缩膜用MA 1L不带UPC版。2PK铜版纸图稿跟返单4500127488 。 （两个球的配比不能重复）。
Remark: 1.Amazon FOB订单，出口US。
2.日期码使用ZURU标准版本。
3.如果大货有要求入邮包盒，则对应的邮包盒上面要打上日期码。
4.箱尺寸要求：外箱最长边不能超过25" （超过了，case pack只能为1），不符合要求的大货，一律不接受。
5.外箱箱唛要求：
①外箱正面印ZURU Logo+SSCC Label（客供贴纸，由跟单订购)。关于 SSCC Label 请注意：
SSCC Label 显示的是客人自己的item#。每一张SSCC label 都是唯一且有不同流水及条码的，没有损耗，绝对不可贴错 。如果贴错或损坏任何一张，都会导致全
部都错，千万要注意！
SSCC Label 必须贴在外箱正面的正中间位置（贴一面即可），并且贴纸离外箱边距必须至少3cm(可以覆盖Logo&lt;(&gt;&amp;&lt;)&gt;箱唛)，否则会影响到客户那边仓库的扫描识
别。
②外箱侧面印item#（订单上显示的SKU#)+carton size(以工厂实际尺寸为准,单位: inch) +MADE IN CHINA,日期使用ZURU 标准版本。
6.装柜要求：按照客户PO# 装柜/箱号顺序装柜，跟单会提前给到装柜计划。
在大货生产/仓库存放时，请留意该装柜要求，以便装柜时不混乱（避免装错/装漏/找不到货号等）。</t>
  </si>
  <si>
    <t>82FJWE9N</t>
  </si>
  <si>
    <t>4500139622-30</t>
  </si>
  <si>
    <t>日期码格式： 标准格式 日期：按实际生产日期
Packaging Info: 
#77486: 2PK #77485入PVC圆筒. 收藏指南用MA 5L, 收缩膜用MA 1L不带UPC版. 2PK铜版纸图稿跟返单4500127488. (两个球的配比不能重复)。
Remark: 1. Amazon FOB订单，出口US。
2. 日期码使用ZURU标准版本。
3. 如果大货有要求入邮包盒，则对应的邮包盒上面要打上日期码。
4. 箱尺寸要求：外箱最长边不能超过25" （超过了，case pack只能为1），不符合要求的大货，一律不接受。
5. 外箱箱唛要求：
①外箱正面印ZURU Logo+SSCC Label（客供贴纸，由跟单订购)。关于 SSCC Label 请注意：
SSCC Label 显示的是客人自己的item#。每一张SSCC label 都是唯一且有不同流水及条码的，没有损耗，绝对不可贴错 。如果贴错或损坏任何一张，都会导致全
部都错，千万要注意！
SSCC Label 必须贴在外箱正面的正中间位置（贴一面即可），并且贴纸离外箱边距必须至少3cm(可以覆盖Logo&lt;(&gt;&amp;&lt;)&gt;箱唛)，否则会影响到客户那边仓库的扫描识
别。
②外箱侧面印item#（订单上显示的SKU#)+carton size(以工厂实际尺寸为准,单位: inch) +MADE IN CHINA,日期使用ZURU 标准版本。
6. 装柜要求：按照客户PO# 装柜/箱号顺序装柜，跟单会提前给到装柜计划。
在大货生产/仓库存放时，请留意该装柜要求，以便装柜时不混乱（避免装错/装漏/找不到货号等）。</t>
  </si>
  <si>
    <t>4A3YL5UH</t>
  </si>
  <si>
    <t>4500139622-200</t>
  </si>
  <si>
    <t>4E6OZG7I</t>
  </si>
  <si>
    <t>4500143709-70</t>
  </si>
  <si>
    <t>8/29取消</t>
  </si>
  <si>
    <t>日期码格式：ZURU INC(BVI) 标准格式 日期：按实际生产日期
Packaging Info: 
#77486 2PK #77485入PVC圆筒。收藏指南用MA 5L, 收缩膜用MA 1L不带UPC版。2PK铜版纸图稿跟返单4500127488 。 （两个球的配比不能重复）。消耗PO#450013774
0取消的27pcs外箱。
Remark: 1.Amazon FOB订单，出口US。外箱最长边不能超过25" （超过了，case pack只能为1），不符合要求的大货，一律不接受。
2. 外箱正面印ZURU Logo+SSCC LABEL（客供贴纸), 侧面印item#（订单上显示的SKU#)+carton size(以工厂实际尺寸为准,单位: inch) +MADE IN CHINA,日期使用Z
URU 标准版本 SSCC Label 显示的是客人自己的item#, SSCC Label 贴在外箱正面的正中间，贴一面即可，跟单订购，贴纸离外箱距必须至少3cm, 每一张SSCC labe
l 都是唯一且有不同流水及条码的，没有损耗，绝对不可贴错 ，否则贴错或损坏一张会导致全部都错，千万要注意.
SSCC 贴纸务必要在正中间(可以覆盖Logo &lt;(&gt;&amp;&lt;)&gt; 箱唛), 否则会影响到仓库扫描识别
3.日期码使用ZURU标准版本
邮包盒上要打日期码
4.按照客户PO# 装柜/箱号顺序装柜，跟单会提前给到装柜计划。请大货生产/仓库存放时留意，以便装柜时不混乱（装错/装漏/找不到货号）</t>
  </si>
  <si>
    <t>83V4ZU2O</t>
  </si>
  <si>
    <t>4500143730-70</t>
  </si>
  <si>
    <t>日期码格式：ZURU INC(BVI) 标准格式 日期：按实际生产日期
Packaging Info: 
#77486 2PK #77485入PVC圆筒。收藏指南用MA 5L, 收缩膜用MA 1L不带UPC版。2PK铜版纸图稿跟返单4500127488 。 （两个球的配比不能重复）。消耗PO#450013774
0取消的27pcs外箱。
Remark: 1.Amazon FOB订单，出口US。
2.日期码使用ZURU标准版本。
3.如果大货有要求入邮包盒，则对应的邮包盒上面要打上日期码。
4.箱尺寸要求：外箱最长边不能超过25" （超过了，case pack只能为1），不符合要求的大货，一律不接受。
5.外箱箱唛要求：
①外箱正面印ZURU Logo+SSCC Label（客供贴纸，由跟单订购)。关于 SSCC Label 请注意：
SSCC Label 显示的是客人自己的item#。每一张SSCC label 都是唯一且有不同流水及条码的，没有损耗，绝对不可贴错 。如果贴错或损坏任何一张，都会导致全
部都错，千万要注意！
SSCC Label 必须贴在外箱正面的正中间位置（贴一面即可），并且贴纸离外箱边距必须至少3cm(可以覆盖Logo&lt;(&gt;&amp;&lt;)&gt;箱唛)，否则会影响到客户那边仓库的扫描识
别。
②外箱侧面印item#（订单上显示的SKU#)+carton size(以工厂实际尺寸为准,单位: inch) +MADE IN CHINA,日期使用ZURU 标准版本。
6.装柜要求：按照客户PO# 装柜/箱号顺序装柜，跟单会提前给到装柜计划。
在大货生产/仓库存放时，请留意该装柜要求，以便装柜时不混乱（避免装错/装漏/找不到货号等）。</t>
  </si>
  <si>
    <t>4500143730</t>
  </si>
  <si>
    <t>4QNSMCGG</t>
  </si>
  <si>
    <t>4500143730-80</t>
  </si>
  <si>
    <t>5TOJ4O8N</t>
  </si>
  <si>
    <t>4500143730-60</t>
  </si>
  <si>
    <t>日期码格式：ZURU INC(BVI) 标准格式 日期：按实际生产日期
Packaging Info:
#77425 MA 1L UPC版本;
Remark: 1.Amazon FOB订单，出口US。
2.日期码使用ZURU标准版本。
3.如果大货有要求入邮包盒，则对应的邮包盒上面要打上日期码。
4.箱尺寸要求：外箱最长边不能超过25" （超过了，case pack只能为1），不符合要求的大货，一律不接受。
5.外箱箱唛要求：
①外箱正面印ZURU Logo+SSCC Label（客供贴纸，由跟单订购)。关于 SSCC Label 请注意：
SSCC Label 显示的是客人自己的item#。每一张SSCC label 都是唯一且有不同流水及条码的，没有损耗，绝对不可贴错 。如果贴错或损坏任何一张，都会导致全
部都错，千万要注意！
SSCC Label 必须贴在外箱正面的正中间位置（贴一面即可），并且贴纸离外箱边距必须至少3cm(可以覆盖Logo&lt;(&gt;&amp;&lt;)&gt;箱唛)，否则会影响到客户那边仓库的扫描识
别。
②外箱侧面印item#（订单上显示的SKU#)+carton size(以工厂实际尺寸为准,单位: inch) +MADE IN CHINA,日期使用ZURU 标准版本。
6.装柜要求：按照客户PO# 装柜/箱号顺序装柜，跟单会提前给到装柜计划。
在大货生产/仓库存放时，请留意该装柜要求，以便装柜时不混乱（避免装错/装漏/找不到货号等）。</t>
  </si>
  <si>
    <t>4500144899-50</t>
  </si>
  <si>
    <t>4500145062-20</t>
  </si>
  <si>
    <t>7AM9B63J</t>
  </si>
  <si>
    <t>4500128257-40</t>
  </si>
  <si>
    <t>5/28 取消订单</t>
  </si>
  <si>
    <t>空白外箱（加印带Zuru字样的最新logo，除了邮包盒直接做外箱的产品）</t>
  </si>
  <si>
    <t>翻单PO#4500114776;</t>
  </si>
  <si>
    <t>日期码格式：ZURU INC(BVI) 标准格式 日期：按实际生产日期
Packaging Info: Amazon UK(77486)/Amazon FR(77486,)/Amazon DE(77486,）
1.77486: 2pcs 77485入PVC tube, 12tubes/ctn; MA 3L收缩膜包装+收藏指南+其他最新版MA包装，客版 3L(5L warning)彩卡包装+1张贴纸(IT环保标); capsule n
eed to use "no barcode"shrink wrap version 参考翻单PO#4500114776;
Remark: 1.空白外箱（加印带Zuru字样的最新logo，除了邮包盒直接做外箱的产品） + SSCC LABEL一张, 无箱唛.
(SSCC LABEL贴在外箱正面的正中间，贴一面即可,贴纸离外箱边距必须至少3CM),SSCC贴纸由工厂直接跟勤得采购或者工厂自行采购，每一张SSCC Label都是唯一且
有不同流水及条码，且需要检查条码是否能正常扫描，另外，此贴纸印刷不可出现模糊，溢出及粘胶不牢易脱落等现象，如工厂不按此要求导致贴纸有任何问题产生
的罚款将由工厂承担一切责任 。’MADE IN CHINA 外箱只印一正一侧。
2. 出往UK的产品+包装务必打上UKCA logo ，否则客人会退货且当地会有罚款。
3.订单必须经过ZURU QC验货并且通过后方可出货。
4.法国订单要求包装不使用矿物油，请按要求提供以下其中一份文件再出货 ，产品出到法国被相关部门抽检出现包装不符合此要求的，供应商需要为此承担责任，
故此请严格把关 。
-油墨物质"由1 ~ 7个芳香环组成的MOAH"的包装检测报告，要求限值≤1.0%;
-包装材料清单，包括包装油墨或物质的信息
-油墨制造商的证书。 5
. 每一批次出货只能有一个生产日期，不可多个生产日期混在同一批次出货；
6. 涉及到相关款式会有闪粉的或者微塑料的，请统一默认出无闪粉或者不含微塑料版本;</t>
  </si>
  <si>
    <t>77486-S001-3L</t>
  </si>
  <si>
    <t>3NIQRCGN</t>
  </si>
  <si>
    <t>4500148503-90</t>
  </si>
  <si>
    <t>10/29取消</t>
  </si>
  <si>
    <t>外箱箱唛要求：
①外箱正面印ZURU Logo+SSCC Label</t>
  </si>
  <si>
    <t>日期码格式：ZURU INC(BVI) 标准格式 日期：按实际生产日期
Packaging Info:
#77486 2PK #77485入PVC圆筒。收藏指南用MA 5L, 收缩膜用MA 1L不带UPC版。2PK铜版纸图稿翻单4500141223 （两个球的配比不能重复）。
Remark: 1. Amazon FOB订单，出口US。
2. 日期码使用ZURU标准版本。
3. 如果大货有要求入邮包盒，则对应的邮包盒上面要打上日期码。
4. 箱尺寸要求：外箱最长边不能超过25" （超过了，case pack只能为1），不符合要求的大货，一律不接受。
5. 外箱箱唛要求：
①外箱正面印ZURU Logo+SSCC Label（客供贴纸，由跟单订购)。关于 SSCC Label 请注意：
SSCC Label 显示的是客人自己的item#。每一张SSCC label 都是唯一且有不同流水及条码的，没有损耗，绝对不可贴错 。如果贴错或损坏任何一张，都会导致全
部都错，千万要注意！
SSCC Label 必须贴在外箱正面的正中间位置（贴一面即可），并且贴纸离外箱边距必须至少3cm(可以覆盖Logo&lt;(&gt;&amp;&lt;)&gt;箱唛)，否则会影响到客户那边仓库的扫描识
别。
②外箱侧面印item#（订单上显示的SKU#)+carton size(以工厂实际尺寸为准,单位: inch) +MADE IN CHINA,日期使用ZURU 标准版本。
6. 装柜要求：按照客户PO# 装柜/箱号顺序装柜，跟单会提前给到装柜计划。
在大货生产/仓库存放时，请留意该装柜要求，以便装柜时不混乱（避免装错/装漏/找不到货号等）。</t>
  </si>
  <si>
    <t>4500148503</t>
  </si>
  <si>
    <t>4BQIODAI</t>
  </si>
  <si>
    <t>4500148503-100</t>
  </si>
  <si>
    <t>ZMPO24801</t>
  </si>
  <si>
    <t>77198-S001</t>
  </si>
  <si>
    <t>迷你小手袋
24PCS/箱</t>
  </si>
  <si>
    <t>11/4取消</t>
  </si>
  <si>
    <t>备注： 收到样品订单后尽快安排 ，注意样板品质质量要求要高于大货品质要求 ，送货时必须要附带送货单(没有送货单和QC检验合格报告的仓库一律拒绝收货)，请知悉，谢谢！                                                                                                                               Remark:只需77198的白色空球，只需用外面透明收缩膜压缩就好，不需要彩色收缩膜</t>
  </si>
  <si>
    <t>2025ZURU05</t>
  </si>
  <si>
    <t>4500148922-40</t>
  </si>
  <si>
    <t>日期码格式： 标准格式 日期：按实际生产日期
Packaging Info:77485GQ6 MA 多语EAN+UPC贴纸UPC号码193052057105
Remark: "出加拿大
Zuru验货.日期跟踪码：产品外包装及产品本身都必须有日期跟踪码，ZURU标准格式日期码"</t>
  </si>
  <si>
    <t>77485GQ6-S003-MTS</t>
  </si>
  <si>
    <t>4500148503-660</t>
  </si>
  <si>
    <t>4500148503-670</t>
  </si>
  <si>
    <t>4500152538-4:
FB12134</t>
  </si>
  <si>
    <t>4500152538-250</t>
  </si>
  <si>
    <t>BEALL's OUTLET STORES</t>
  </si>
  <si>
    <t>PO# 1529063</t>
  </si>
  <si>
    <t>4500156785-10</t>
  </si>
  <si>
    <t>暂停备料</t>
  </si>
  <si>
    <t>日期码格式：ZURU INC(BVI) 标准格式 日期：按实际生产日期 
Packaging Info: 1. 该订单的所有款式均为消耗呆滞物，如原呆滞物上有其他客户公司LOGO的包装物，请替换为 ZURU标准MA UPC包装(优先1L) + 客供价格贴纸（贴在产品包装右下
 角，跟单找第三方订购贴纸寄到工厂）。价格贴纸显示以下信息，需按单贴对，不要混了
 77425-S001
 $29.00 /$ 23.99
 SKU# 89321997
 UPC: 300893219979
 FINELINE STYLE NO.: 0634
 2. 有产品外包装及产品本身都必须有日期跟踪码(ZURU标准日期码格式，年月日的日期自行调整，但不能为周末)，并且确保产品及外包装的日期跟踪码要一致.
 3. 此单包含4张客户PO， 需按照印有不同PO箱唛及箱数的外箱进行包装.
注意：客供贴纸上会显示客户PO号，入箱需要确保产品上的贴纸与外箱上的PO# 一致。
 PO#1529063 SHIP TO:
 bealls DIST CENTER #115 2100 47th Ter E Bradenton, FL 34203-3774
 Marks for: bealls DIST CENTER #115
 PO# 1529111 SHIP TO:
 Beall's OUTLET DIST CENTER #115 2100 47th Ter E Bradenton, FL 34203-3774
 Marks for: TX Logistics Support Center #995
 PO# 1534656 SHIP TO:
 bealls DIST CENTER #115 2100 47th Ter E Bradenton, FL 34203-3774
 Marks for: bealls DIST CENTER #115
 PO# 1534657 SHIP TO:
 bealls DIST CENTER #115 2100 47th Ter E Bradenton, FL 34203-3774
 Mark For: TX Logistics Support Center #995
Remark: 该订单的所有款式均为消耗呆滞物，如原呆滞物上有其他客户公司LOGO的包装物，请替换为 ZURU标准MA UPC包装(优先1L) + 客供价格贴纸（贴在产品包装右下角，
 跟单找第三方订购贴纸寄到工厂）。价格贴纸显示以下信息，需按单贴对，不要混了</t>
  </si>
  <si>
    <t>Yoyo Yi</t>
  </si>
  <si>
    <t>PO# 1529111</t>
  </si>
  <si>
    <t>4500156785-20</t>
  </si>
  <si>
    <t>TARGET AUSTRALIA PTY LTD</t>
  </si>
  <si>
    <t>4500154618-80</t>
  </si>
  <si>
    <t>2/22 取消订单</t>
  </si>
  <si>
    <t>日期码格式：ZURU INC(BVI) 标准格式 日期：按实际生产日期
Packaging Info: 
 7. 77485GQ6:MA_1L UPC版本包装（收缩膜和说明书, MA首选1L，如无1L可用多语且含英语的配套多语包装) + 箱唛 + 外箱SSCC Label
Remark: 1. 客人要求箱唛不可出现任何手写内容，重量与实际一致且不可手写;
 2. 此单去澳大利亚，请按相应澳新标准生产;
 3. 使用普通透明封箱胶封箱（若有客版封箱胶带库存可先消耗完库存）
 4. 外箱需要贴Target SSCC LABEL,客供PDF文档，工厂自行订购。请贴在正唛右下角（一箱一张，贴1面正唛右下角,封箱胶纸不能挡住贴纸内容。)；外箱贴纸距离
 外箱边缘应在2cm以上。如果正唛无位置可以贴在侧唛。
 5. 外箱材质为ZURU标准；
 6. 产品和包装上要有tracking label信息：格式为Zuru标准格式（可以自行调整具体年月日生产日期,避开节假期日）；
 7. SSCC Label 尺寸更新为：4x4 inch。
 8. 请务必按时完货，验货PASS后请按时送货入货代指定仓库，如果晚了导致船期Delay将会有罚金产生或者客户要求空运，所产生的罚金和空运费由工厂承担。</t>
  </si>
  <si>
    <t>4500168594-80</t>
  </si>
  <si>
    <t>B0FJJB3JNT</t>
  </si>
  <si>
    <t>4500177327-180</t>
  </si>
  <si>
    <t>日期码格式：ZURU INC(BVI) 标准格式 日期：按实际生产日期
Packaging Info:
#77806: 2PK STD #77770入PVC筒,MA 1L UPC版本+空白贴纸，空白贴纸和3L铜版纸跟单提供。收藏指南和说明书为MA版本。（两个球的配比不能重复）。
Remark: 1.Amazon domestic 订单。出口美国。外箱最长边不能超过25" （超过了，case pack只能为1），不符合要求的大货，一律不接受。
2.无第三方验货/测试要求。
3.日期码使用ZURU标准版本。
4.如果大货有要求入邮包盒，则对应的邮包盒上面要打上日期码。</t>
  </si>
  <si>
    <t>MO250923#2</t>
  </si>
  <si>
    <t>TBD</t>
  </si>
  <si>
    <t>已转实单4500180563</t>
  </si>
  <si>
    <t>1、包装方式: MA UPC 优先1L最新版+展示架（展示架带底座且带挂钩，挂钩数量同标版无底座版本），出口美国
 2、无第三方测试&amp;验货要求
 3、纸箱4面印ZURU LOGO + 箱唛
 4、日期码请按ZURU标准版执行即可
 5、ZURU OQC验货</t>
  </si>
  <si>
    <t>4500184399-90</t>
  </si>
  <si>
    <t>日期码格式：ZURU INC(BVI) 标准格式 日期：按实际生产日期
Packaging Info: 
8. 77770GQ2：MA 3L EAN包装+UPC贴纸+MA 多语收藏指南+MA 3L PDQ包装+进口商贴纸+箱唛，贴纸翻单PO4500184316
Remark: 1.请注意产品包装条形码必须是UPC
2.无第三方验货</t>
  </si>
  <si>
    <t>47882810 SYD</t>
  </si>
  <si>
    <t>4500182440-10</t>
  </si>
  <si>
    <t>47882811 BNE</t>
  </si>
  <si>
    <t>4500182440-20</t>
  </si>
  <si>
    <t>47882812 MEL</t>
  </si>
  <si>
    <t>4500182440-30</t>
  </si>
  <si>
    <t>47882813 FRE</t>
  </si>
  <si>
    <t>4500182440-40</t>
  </si>
  <si>
    <t>10001493627-3890</t>
  </si>
  <si>
    <t>4500184412-10</t>
  </si>
  <si>
    <t>日期码格式：ZURU INC(BVI) 标准格式 日期：按实际生产日期
Packaging Info: 77770GQ2 产品包装(UPC 版) MA 1L收缩膜+MA 1L PDQ；
Remark: 77770GQ2
1. 77770GQ2-S002-MINI BRANDS-FASHION MINI BRANDS-SERIES 4-CAPSULE,WITH DEMO,25PCS/Gravity PDQ,25PCS/PDQ/CTN
2. 产品包装(UPC 版) MA 1L收缩膜+MA 1L PDQ；收缩膜上的UPC显示193052089465；
3. 外箱正唛左上角位置粘贴条码箱贴纸，每箱只贴一张，由ZURU订购。来料贴纸上显示的客户DPCI# 086-02-9624, UPC显示10193052089462;
此订单所有item：
1. 产品和包装上印刷 tracking code信息，格式为ZURU常规格式;
2. 出货方式：货代自提</t>
  </si>
  <si>
    <t>10001493888-3891</t>
  </si>
  <si>
    <t>4500184413-20</t>
  </si>
  <si>
    <t>日期码格式：ZURU INC(BVI) 标准格式 日期：按实际生产日期
Packaging Info:
77770GQ2 产品包装(UPC 版) MA 1L收缩膜+MA 1L PDQ；
Remark: 
77770GQ2
1. 77770GQ2-S002-MINI BRANDS-FASHION MINI BRANDS-SERIES 4-CAPSULE,WITH DEMO,25PCS/Gravity PDQ,25PCS/PDQ/CTN
2. 产品包装(UPC 版) MA 1L收缩膜+MA 1L PDQ；收缩膜上的UPC显示193052089465；
3. 外箱正唛左上角位置粘贴条码箱贴纸，每箱只贴一张，由ZURU订购。来料贴纸上显示的客户DPCI# 086-02-9624, UPC显示10193052089462;
此订单所有item：
1. 产品和包装上印刷 tracking code信息，格式为ZURU常规格式;
2. 出货方式：货代自提</t>
  </si>
</sst>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d;@"/>
    <numFmt numFmtId="177" formatCode="yyyy/m/d&quot;周&quot;aaa"/>
    <numFmt numFmtId="178" formatCode="0.0000_);[Red]\(0.0000\)"/>
    <numFmt numFmtId="179" formatCode="0_);[Red]\(0\)"/>
    <numFmt numFmtId="180" formatCode="0_ "/>
    <numFmt numFmtId="181" formatCode="m/d;@"/>
    <numFmt numFmtId="182" formatCode="#,##0.0000_ "/>
    <numFmt numFmtId="183" formatCode="0.00_);[Red]\(0.00\)"/>
    <numFmt numFmtId="184" formatCode="[$-409]d/mmm/yy;@"/>
    <numFmt numFmtId="185" formatCode="&quot;US$&quot;#,##0_);[Red]\(&quot;US$&quot;#,##0\)"/>
    <numFmt numFmtId="186" formatCode="0.0000_ "/>
    <numFmt numFmtId="187" formatCode="0_ ;[Red]\-0\ "/>
    <numFmt numFmtId="188" formatCode="_ * #,##0_ ;_ * \-#,##0_ ;_ * &quot;-&quot;??_ ;_ @_ "/>
    <numFmt numFmtId="189" formatCode="\¥#,##0_);[Red]\(\¥#,##0\)"/>
    <numFmt numFmtId="190" formatCode="#,##0_);[Red]\(#,##0\)"/>
    <numFmt numFmtId="191" formatCode="[$-409]d\-mmm\-yy;@"/>
    <numFmt numFmtId="192" formatCode="0.0000"/>
    <numFmt numFmtId="193" formatCode="0.00000"/>
    <numFmt numFmtId="194" formatCode="0.000"/>
    <numFmt numFmtId="195" formatCode="[$-409]yyyy\-mm\-dd;@"/>
    <numFmt numFmtId="196" formatCode="0.00_ "/>
    <numFmt numFmtId="197" formatCode="\¥#,##0.00;\¥\-#,##0.00"/>
    <numFmt numFmtId="198" formatCode="#,##0_ "/>
    <numFmt numFmtId="199" formatCode="\¥#,##0.00_);[Red]\(\¥#,##0.00\)"/>
    <numFmt numFmtId="200" formatCode="#,##0.00_);[Red]\(#,##0.00\)"/>
    <numFmt numFmtId="201" formatCode="_-* #,##0_-;\-* #,##0_-;_-* &quot;-&quot;??_-;_-@_-"/>
    <numFmt numFmtId="202" formatCode="[$$-409]#,##0.00"/>
  </numFmts>
  <fonts count="240">
    <font>
      <sz val="11"/>
      <color theme="1"/>
      <name val="宋体"/>
      <charset val="134"/>
      <scheme val="minor"/>
    </font>
    <font>
      <sz val="8"/>
      <color theme="1"/>
      <name val="宋体"/>
      <charset val="134"/>
      <scheme val="minor"/>
    </font>
    <font>
      <sz val="9"/>
      <color rgb="FFFF0000"/>
      <name val="宋体"/>
      <charset val="134"/>
      <scheme val="minor"/>
    </font>
    <font>
      <sz val="11"/>
      <color rgb="FFFF0000"/>
      <name val="宋体"/>
      <charset val="134"/>
      <scheme val="minor"/>
    </font>
    <font>
      <sz val="12"/>
      <color rgb="FFFF0000"/>
      <name val="宋体"/>
      <charset val="134"/>
      <scheme val="minor"/>
    </font>
    <font>
      <sz val="12"/>
      <name val="宋体"/>
      <charset val="134"/>
      <scheme val="minor"/>
    </font>
    <font>
      <b/>
      <sz val="8"/>
      <name val="宋体"/>
      <charset val="134"/>
      <scheme val="minor"/>
    </font>
    <font>
      <sz val="9"/>
      <color rgb="FFFF0000"/>
      <name val="Tahoma"/>
      <charset val="0"/>
    </font>
    <font>
      <sz val="12"/>
      <color rgb="FFFF0000"/>
      <name val="等线"/>
      <charset val="134"/>
    </font>
    <font>
      <b/>
      <sz val="8"/>
      <name val="等线"/>
      <charset val="134"/>
    </font>
    <font>
      <b/>
      <sz val="8"/>
      <color rgb="FF0000FF"/>
      <name val="宋体"/>
      <charset val="134"/>
      <scheme val="minor"/>
    </font>
    <font>
      <sz val="9"/>
      <color rgb="FF0000FF"/>
      <name val="宋体"/>
      <charset val="134"/>
      <scheme val="minor"/>
    </font>
    <font>
      <sz val="9"/>
      <name val="宋体"/>
      <charset val="134"/>
      <scheme val="minor"/>
    </font>
    <font>
      <b/>
      <sz val="8"/>
      <color rgb="FF7030A0"/>
      <name val="宋体"/>
      <charset val="134"/>
      <scheme val="minor"/>
    </font>
    <font>
      <b/>
      <sz val="8"/>
      <color theme="1"/>
      <name val="宋体"/>
      <charset val="134"/>
      <scheme val="minor"/>
    </font>
    <font>
      <sz val="9"/>
      <color rgb="FF7030A0"/>
      <name val="宋体"/>
      <charset val="134"/>
      <scheme val="minor"/>
    </font>
    <font>
      <b/>
      <sz val="8"/>
      <color rgb="FFFF0000"/>
      <name val="宋体"/>
      <charset val="134"/>
      <scheme val="minor"/>
    </font>
    <font>
      <sz val="10"/>
      <color rgb="FFFF0000"/>
      <name val="Calibri"/>
      <charset val="0"/>
    </font>
    <font>
      <sz val="12"/>
      <color rgb="FF0000FF"/>
      <name val="宋体"/>
      <charset val="134"/>
      <scheme val="minor"/>
    </font>
    <font>
      <sz val="10"/>
      <color rgb="FFFF0000"/>
      <name val="宋体"/>
      <charset val="134"/>
      <scheme val="minor"/>
    </font>
    <font>
      <sz val="10"/>
      <name val="宋体"/>
      <charset val="134"/>
      <scheme val="minor"/>
    </font>
    <font>
      <sz val="10"/>
      <color rgb="FFFF0000"/>
      <name val="等线"/>
      <charset val="134"/>
    </font>
    <font>
      <sz val="11"/>
      <color rgb="FFFF0000"/>
      <name val="Arial"/>
      <charset val="0"/>
    </font>
    <font>
      <sz val="10"/>
      <color rgb="FFFF0000"/>
      <name val="Arial"/>
      <charset val="134"/>
    </font>
    <font>
      <sz val="11"/>
      <color rgb="FFFF0000"/>
      <name val="宋体"/>
      <charset val="134"/>
    </font>
    <font>
      <sz val="10"/>
      <color rgb="FFFF0000"/>
      <name val="Arial"/>
      <charset val="0"/>
    </font>
    <font>
      <sz val="9"/>
      <color rgb="FFFF0000"/>
      <name val="Arial"/>
      <charset val="0"/>
    </font>
    <font>
      <b/>
      <sz val="12"/>
      <color rgb="FFFF0000"/>
      <name val="宋体"/>
      <charset val="134"/>
      <scheme val="minor"/>
    </font>
    <font>
      <sz val="11"/>
      <color rgb="FFFF0000"/>
      <name val="等线"/>
      <charset val="134"/>
    </font>
    <font>
      <sz val="12"/>
      <color rgb="FFFF0000"/>
      <name val="宋体"/>
      <charset val="0"/>
    </font>
    <font>
      <sz val="14"/>
      <color rgb="FFFF0000"/>
      <name val="宋体"/>
      <charset val="0"/>
    </font>
    <font>
      <sz val="10"/>
      <color rgb="FFFF0000"/>
      <name val="Calibri"/>
      <charset val="134"/>
    </font>
    <font>
      <sz val="12"/>
      <color rgb="FFFF0000"/>
      <name val="Arial"/>
      <charset val="0"/>
    </font>
    <font>
      <sz val="10"/>
      <color rgb="FFFF0000"/>
      <name val="宋体"/>
      <charset val="0"/>
      <scheme val="minor"/>
    </font>
    <font>
      <sz val="9"/>
      <color rgb="FFFF0000"/>
      <name val="宋体"/>
      <charset val="0"/>
      <scheme val="major"/>
    </font>
    <font>
      <sz val="10"/>
      <color rgb="FFFF0000"/>
      <name val="宋体"/>
      <charset val="0"/>
      <scheme val="major"/>
    </font>
    <font>
      <sz val="10"/>
      <color rgb="FFFF0000"/>
      <name val="宋体"/>
      <charset val="134"/>
    </font>
    <font>
      <sz val="12"/>
      <color rgb="FF2727F0"/>
      <name val="宋体"/>
      <charset val="134"/>
      <scheme val="minor"/>
    </font>
    <font>
      <sz val="11"/>
      <color theme="1"/>
      <name val="Times New Roman"/>
      <charset val="134"/>
    </font>
    <font>
      <b/>
      <sz val="11"/>
      <name val="Times New Roman"/>
      <charset val="134"/>
    </font>
    <font>
      <b/>
      <sz val="11"/>
      <color theme="0"/>
      <name val="Times New Roman"/>
      <charset val="134"/>
    </font>
    <font>
      <b/>
      <sz val="11"/>
      <color rgb="FFFFFF00"/>
      <name val="Times New Roman"/>
      <charset val="134"/>
    </font>
    <font>
      <sz val="11"/>
      <color rgb="FFFFFF00"/>
      <name val="Times New Roman"/>
      <charset val="134"/>
    </font>
    <font>
      <sz val="11"/>
      <color theme="0"/>
      <name val="Times New Roman"/>
      <charset val="134"/>
    </font>
    <font>
      <b/>
      <sz val="11"/>
      <color theme="0"/>
      <name val="黑体"/>
      <charset val="134"/>
    </font>
    <font>
      <sz val="10"/>
      <color theme="1"/>
      <name val="黑体"/>
      <charset val="134"/>
    </font>
    <font>
      <sz val="10"/>
      <color indexed="8"/>
      <name val="Times New Roman"/>
      <charset val="134"/>
    </font>
    <font>
      <sz val="10"/>
      <name val="黑体"/>
      <charset val="134"/>
    </font>
    <font>
      <sz val="10"/>
      <color theme="1"/>
      <name val="Times New Roman"/>
      <charset val="134"/>
    </font>
    <font>
      <sz val="11"/>
      <name val="Times New Roman"/>
      <charset val="134"/>
    </font>
    <font>
      <sz val="12"/>
      <name val="Times New Roman"/>
      <charset val="134"/>
    </font>
    <font>
      <sz val="10"/>
      <color rgb="FFC00000"/>
      <name val="黑体"/>
      <charset val="134"/>
    </font>
    <font>
      <sz val="12"/>
      <color theme="1"/>
      <name val="Times New Roman"/>
      <charset val="134"/>
    </font>
    <font>
      <sz val="11"/>
      <color theme="1"/>
      <name val="黑体"/>
      <charset val="134"/>
    </font>
    <font>
      <strike/>
      <sz val="11"/>
      <color theme="1"/>
      <name val="Times New Roman"/>
      <charset val="134"/>
    </font>
    <font>
      <b/>
      <sz val="11"/>
      <color rgb="FFFFFF00"/>
      <name val="宋体"/>
      <charset val="134"/>
    </font>
    <font>
      <b/>
      <sz val="11"/>
      <color rgb="FFFFC000"/>
      <name val="Times New Roman"/>
      <charset val="134"/>
    </font>
    <font>
      <b/>
      <sz val="11"/>
      <color theme="1"/>
      <name val="Times New Roman"/>
      <charset val="134"/>
    </font>
    <font>
      <b/>
      <sz val="11"/>
      <name val="宋体"/>
      <charset val="134"/>
    </font>
    <font>
      <sz val="11"/>
      <color theme="1"/>
      <name val="宋体"/>
      <charset val="134"/>
    </font>
    <font>
      <sz val="10"/>
      <name val="Times New Roman"/>
      <charset val="134"/>
    </font>
    <font>
      <sz val="13"/>
      <name val="Tahoma"/>
      <charset val="134"/>
    </font>
    <font>
      <sz val="12"/>
      <name val="Tahoma"/>
      <charset val="134"/>
    </font>
    <font>
      <sz val="11"/>
      <name val="Tahoma"/>
      <charset val="134"/>
    </font>
    <font>
      <sz val="14"/>
      <name val="Tahoma"/>
      <charset val="134"/>
    </font>
    <font>
      <b/>
      <sz val="13"/>
      <color rgb="FF0000CC"/>
      <name val="Tahoma"/>
      <charset val="134"/>
    </font>
    <font>
      <sz val="13"/>
      <color rgb="FFFF0000"/>
      <name val="宋体"/>
      <charset val="134"/>
    </font>
    <font>
      <sz val="13"/>
      <color rgb="FFFF0000"/>
      <name val="Tahoma"/>
      <charset val="134"/>
    </font>
    <font>
      <b/>
      <sz val="13"/>
      <color theme="0"/>
      <name val="Tahoma"/>
      <charset val="134"/>
    </font>
    <font>
      <b/>
      <sz val="13"/>
      <name val="Tahoma"/>
      <charset val="134"/>
    </font>
    <font>
      <b/>
      <sz val="14"/>
      <name val="宋体"/>
      <charset val="134"/>
    </font>
    <font>
      <sz val="13"/>
      <name val="Microsoft YaHei UI"/>
      <charset val="134"/>
    </font>
    <font>
      <sz val="13"/>
      <color theme="0"/>
      <name val="Tahoma"/>
      <charset val="134"/>
    </font>
    <font>
      <b/>
      <sz val="13"/>
      <color theme="0"/>
      <name val="宋体"/>
      <charset val="134"/>
    </font>
    <font>
      <b/>
      <sz val="12"/>
      <name val="Tahoma"/>
      <charset val="134"/>
    </font>
    <font>
      <b/>
      <sz val="12"/>
      <name val="宋体"/>
      <charset val="134"/>
      <scheme val="major"/>
    </font>
    <font>
      <b/>
      <sz val="12"/>
      <name val="Times New Roman"/>
      <charset val="134"/>
    </font>
    <font>
      <b/>
      <sz val="12"/>
      <color rgb="FFC00000"/>
      <name val="宋体"/>
      <charset val="134"/>
      <scheme val="major"/>
    </font>
    <font>
      <b/>
      <sz val="12"/>
      <color rgb="FFC00000"/>
      <name val="Times New Roman"/>
      <charset val="134"/>
    </font>
    <font>
      <b/>
      <sz val="12"/>
      <color rgb="FF00B050"/>
      <name val="Times New Roman"/>
      <charset val="134"/>
    </font>
    <font>
      <b/>
      <sz val="12"/>
      <color rgb="FF00B050"/>
      <name val="Tahoma"/>
      <charset val="134"/>
    </font>
    <font>
      <sz val="12"/>
      <color rgb="FF00B050"/>
      <name val="Arial"/>
      <charset val="134"/>
    </font>
    <font>
      <b/>
      <sz val="12"/>
      <color rgb="FF0000D4"/>
      <name val="Tahoma"/>
      <charset val="134"/>
    </font>
    <font>
      <b/>
      <sz val="12"/>
      <color indexed="12"/>
      <name val="宋体"/>
      <charset val="134"/>
    </font>
    <font>
      <b/>
      <sz val="12"/>
      <color rgb="FF0000D4"/>
      <name val="Times New Roman"/>
      <charset val="134"/>
    </font>
    <font>
      <b/>
      <sz val="11"/>
      <color indexed="9"/>
      <name val="Tahoma"/>
      <charset val="134"/>
    </font>
    <font>
      <u/>
      <sz val="14"/>
      <name val="Tahoma"/>
      <charset val="134"/>
    </font>
    <font>
      <sz val="11"/>
      <name val="Tahoma"/>
      <charset val="0"/>
    </font>
    <font>
      <b/>
      <sz val="12"/>
      <color theme="1"/>
      <name val="宋体"/>
      <charset val="134"/>
      <scheme val="minor"/>
    </font>
    <font>
      <b/>
      <sz val="13"/>
      <color rgb="FFFF0000"/>
      <name val="Tahoma"/>
      <charset val="0"/>
    </font>
    <font>
      <b/>
      <sz val="13"/>
      <color theme="0"/>
      <name val="Tahoma"/>
      <charset val="0"/>
    </font>
    <font>
      <b/>
      <sz val="13"/>
      <name val="Tahoma"/>
      <charset val="0"/>
    </font>
    <font>
      <sz val="13"/>
      <name val="Tahoma"/>
      <charset val="0"/>
    </font>
    <font>
      <sz val="13"/>
      <color theme="0"/>
      <name val="Tahoma"/>
      <charset val="0"/>
    </font>
    <font>
      <b/>
      <sz val="12"/>
      <name val="Tahoma"/>
      <charset val="0"/>
    </font>
    <font>
      <b/>
      <sz val="12"/>
      <name val="Times New Roman"/>
      <charset val="0"/>
    </font>
    <font>
      <sz val="12"/>
      <name val="Arial"/>
      <charset val="0"/>
    </font>
    <font>
      <b/>
      <sz val="12"/>
      <color rgb="FF00B050"/>
      <name val="Times New Roman"/>
      <charset val="0"/>
    </font>
    <font>
      <b/>
      <sz val="12"/>
      <color rgb="FF00B050"/>
      <name val="Tahoma"/>
      <charset val="0"/>
    </font>
    <font>
      <sz val="12"/>
      <color rgb="FF00B050"/>
      <name val="Times New Roman"/>
      <charset val="0"/>
    </font>
    <font>
      <sz val="12"/>
      <color rgb="FF00B050"/>
      <name val="Arial"/>
      <charset val="0"/>
    </font>
    <font>
      <b/>
      <sz val="12"/>
      <color rgb="FF0000D4"/>
      <name val="Tahoma"/>
      <charset val="0"/>
    </font>
    <font>
      <b/>
      <sz val="12"/>
      <color indexed="12"/>
      <name val="Times New Roman"/>
      <charset val="0"/>
    </font>
    <font>
      <b/>
      <sz val="12"/>
      <color rgb="FF0000D4"/>
      <name val="Times New Roman"/>
      <charset val="0"/>
    </font>
    <font>
      <b/>
      <sz val="11"/>
      <color indexed="9"/>
      <name val="Tahoma"/>
      <charset val="0"/>
    </font>
    <font>
      <sz val="14"/>
      <name val="Tahoma"/>
      <charset val="0"/>
    </font>
    <font>
      <sz val="12"/>
      <name val="Tahoma"/>
      <charset val="0"/>
    </font>
    <font>
      <u/>
      <sz val="14"/>
      <name val="Tahoma"/>
      <charset val="0"/>
    </font>
    <font>
      <b/>
      <sz val="12"/>
      <name val="宋体"/>
      <charset val="0"/>
      <scheme val="minor"/>
    </font>
    <font>
      <b/>
      <sz val="13"/>
      <color rgb="FFFF0000"/>
      <name val="宋体"/>
      <charset val="0"/>
    </font>
    <font>
      <b/>
      <sz val="14"/>
      <name val="Tahoma"/>
      <charset val="0"/>
    </font>
    <font>
      <sz val="13"/>
      <color theme="1"/>
      <name val="Tahoma"/>
      <charset val="0"/>
    </font>
    <font>
      <b/>
      <sz val="10"/>
      <color rgb="FF0000D4"/>
      <name val="宋体"/>
      <charset val="134"/>
    </font>
    <font>
      <b/>
      <sz val="10"/>
      <color rgb="FF0000CC"/>
      <name val="Times New Roman"/>
      <charset val="0"/>
    </font>
    <font>
      <b/>
      <sz val="14"/>
      <color rgb="FF00B050"/>
      <name val="Tahoma"/>
      <charset val="0"/>
    </font>
    <font>
      <b/>
      <sz val="16"/>
      <color rgb="FF0000CC"/>
      <name val="Tahoma"/>
      <charset val="0"/>
    </font>
    <font>
      <sz val="13"/>
      <color rgb="FF0000CC"/>
      <name val="Tahoma"/>
      <charset val="0"/>
    </font>
    <font>
      <b/>
      <sz val="12"/>
      <color rgb="FFFF0000"/>
      <name val="宋体"/>
      <charset val="0"/>
      <scheme val="minor"/>
    </font>
    <font>
      <sz val="13"/>
      <name val="宋体"/>
      <charset val="134"/>
    </font>
    <font>
      <sz val="16"/>
      <color rgb="FF0000CC"/>
      <name val="Tahoma"/>
      <charset val="0"/>
    </font>
    <font>
      <b/>
      <sz val="20"/>
      <color theme="1"/>
      <name val="宋体"/>
      <charset val="134"/>
      <scheme val="minor"/>
    </font>
    <font>
      <b/>
      <sz val="9"/>
      <color theme="1"/>
      <name val="宋体"/>
      <charset val="134"/>
      <scheme val="minor"/>
    </font>
    <font>
      <b/>
      <sz val="9"/>
      <color rgb="FFFF0000"/>
      <name val="宋体"/>
      <charset val="134"/>
      <scheme val="minor"/>
    </font>
    <font>
      <sz val="9"/>
      <color theme="1"/>
      <name val="宋体"/>
      <charset val="134"/>
      <scheme val="minor"/>
    </font>
    <font>
      <b/>
      <sz val="9"/>
      <name val="宋体"/>
      <charset val="134"/>
      <scheme val="minor"/>
    </font>
    <font>
      <b/>
      <sz val="9"/>
      <color rgb="FF0000FF"/>
      <name val="宋体"/>
      <charset val="134"/>
      <scheme val="minor"/>
    </font>
    <font>
      <sz val="12"/>
      <name val="Calibri"/>
      <charset val="134"/>
    </font>
    <font>
      <sz val="9"/>
      <color theme="1"/>
      <name val="仿宋"/>
      <charset val="134"/>
    </font>
    <font>
      <b/>
      <sz val="11"/>
      <color theme="1"/>
      <name val="宋体"/>
      <charset val="134"/>
      <scheme val="minor"/>
    </font>
    <font>
      <sz val="10"/>
      <name val="微软雅黑"/>
      <charset val="134"/>
    </font>
    <font>
      <sz val="12"/>
      <name val="宋体"/>
      <charset val="134"/>
    </font>
    <font>
      <sz val="9"/>
      <name val="仿宋"/>
      <charset val="134"/>
    </font>
    <font>
      <sz val="8"/>
      <name val="宋体"/>
      <charset val="134"/>
      <scheme val="minor"/>
    </font>
    <font>
      <sz val="10"/>
      <color theme="1"/>
      <name val="宋体"/>
      <charset val="134"/>
      <scheme val="minor"/>
    </font>
    <font>
      <sz val="12"/>
      <color rgb="FF010CDD"/>
      <name val="宋体"/>
      <charset val="134"/>
      <scheme val="minor"/>
    </font>
    <font>
      <sz val="12"/>
      <color rgb="FF3E2CEA"/>
      <name val="宋体"/>
      <charset val="134"/>
      <scheme val="minor"/>
    </font>
    <font>
      <sz val="11"/>
      <color rgb="FF0000FF"/>
      <name val="宋体"/>
      <charset val="134"/>
      <scheme val="minor"/>
    </font>
    <font>
      <sz val="11"/>
      <color rgb="FF7030A0"/>
      <name val="宋体"/>
      <charset val="134"/>
      <scheme val="minor"/>
    </font>
    <font>
      <b/>
      <sz val="11"/>
      <color rgb="FF2727F0"/>
      <name val="宋体"/>
      <charset val="134"/>
      <scheme val="minor"/>
    </font>
    <font>
      <b/>
      <sz val="10"/>
      <name val="宋体"/>
      <charset val="134"/>
      <scheme val="minor"/>
    </font>
    <font>
      <sz val="11"/>
      <color rgb="FF0000FF"/>
      <name val="宋体"/>
      <charset val="134"/>
    </font>
    <font>
      <sz val="10"/>
      <color rgb="FF0000FF"/>
      <name val="宋体"/>
      <charset val="134"/>
      <scheme val="minor"/>
    </font>
    <font>
      <sz val="11"/>
      <color rgb="FF0000FF"/>
      <name val="Arial"/>
      <charset val="0"/>
    </font>
    <font>
      <sz val="10"/>
      <color rgb="FF0000FF"/>
      <name val="宋体"/>
      <charset val="0"/>
      <scheme val="minor"/>
    </font>
    <font>
      <sz val="12"/>
      <color rgb="FF0000FF"/>
      <name val="宋体"/>
      <charset val="0"/>
    </font>
    <font>
      <sz val="11"/>
      <color rgb="FF010CDD"/>
      <name val="宋体"/>
      <charset val="134"/>
    </font>
    <font>
      <sz val="12"/>
      <color rgb="FF010CDD"/>
      <name val="宋体"/>
      <charset val="0"/>
    </font>
    <font>
      <sz val="11"/>
      <color rgb="FF2727F0"/>
      <name val="宋体"/>
      <charset val="134"/>
    </font>
    <font>
      <b/>
      <sz val="10"/>
      <color theme="1"/>
      <name val="宋体"/>
      <charset val="134"/>
      <scheme val="minor"/>
    </font>
    <font>
      <b/>
      <sz val="10"/>
      <name val="等线"/>
      <charset val="134"/>
    </font>
    <font>
      <sz val="10"/>
      <color rgb="FF0000FF"/>
      <name val="等线"/>
      <charset val="134"/>
    </font>
    <font>
      <sz val="11"/>
      <color rgb="FF010CDD"/>
      <name val="宋体"/>
      <charset val="134"/>
      <scheme val="minor"/>
    </font>
    <font>
      <sz val="10"/>
      <color rgb="FF010CDD"/>
      <name val="等线"/>
      <charset val="134"/>
    </font>
    <font>
      <b/>
      <sz val="10"/>
      <color rgb="FF0000FF"/>
      <name val="宋体"/>
      <charset val="134"/>
      <scheme val="minor"/>
    </font>
    <font>
      <b/>
      <sz val="10"/>
      <color rgb="FF7030A0"/>
      <name val="宋体"/>
      <charset val="134"/>
      <scheme val="minor"/>
    </font>
    <font>
      <b/>
      <sz val="10"/>
      <color rgb="FF2727F0"/>
      <name val="宋体"/>
      <charset val="134"/>
      <scheme val="minor"/>
    </font>
    <font>
      <b/>
      <sz val="10"/>
      <color theme="9" tint="-0.25"/>
      <name val="宋体"/>
      <charset val="134"/>
      <scheme val="minor"/>
    </font>
    <font>
      <b/>
      <sz val="10"/>
      <color rgb="FFFF0000"/>
      <name val="宋体"/>
      <charset val="134"/>
      <scheme val="minor"/>
    </font>
    <font>
      <b/>
      <sz val="10"/>
      <color theme="4" tint="-0.25"/>
      <name val="宋体"/>
      <charset val="134"/>
      <scheme val="minor"/>
    </font>
    <font>
      <b/>
      <sz val="10"/>
      <color theme="6" tint="-0.5"/>
      <name val="宋体"/>
      <charset val="134"/>
      <scheme val="minor"/>
    </font>
    <font>
      <sz val="12"/>
      <color rgb="FF000000"/>
      <name val="宋体"/>
      <charset val="134"/>
      <scheme val="minor"/>
    </font>
    <font>
      <sz val="11"/>
      <name val="Arial"/>
      <charset val="134"/>
    </font>
    <font>
      <sz val="14"/>
      <color rgb="FF1506E0"/>
      <name val="宋体"/>
      <charset val="0"/>
      <scheme val="minor"/>
    </font>
    <font>
      <sz val="9"/>
      <color rgb="FF010CDD"/>
      <name val="宋体"/>
      <charset val="134"/>
      <scheme val="minor"/>
    </font>
    <font>
      <sz val="12"/>
      <color rgb="FF0E2EF0"/>
      <name val="宋体"/>
      <charset val="134"/>
      <scheme val="minor"/>
    </font>
    <font>
      <sz val="11"/>
      <color rgb="FF3E2CEA"/>
      <name val="宋体"/>
      <charset val="134"/>
    </font>
    <font>
      <sz val="11"/>
      <color rgb="FF3E2CEA"/>
      <name val="宋体"/>
      <charset val="134"/>
      <scheme val="minor"/>
    </font>
    <font>
      <sz val="11"/>
      <color rgb="FF3E2CEA"/>
      <name val="Arial"/>
      <charset val="0"/>
    </font>
    <font>
      <sz val="11"/>
      <name val="宋体"/>
      <charset val="134"/>
    </font>
    <font>
      <sz val="11"/>
      <name val="宋体"/>
      <charset val="134"/>
      <scheme val="minor"/>
    </font>
    <font>
      <sz val="11"/>
      <name val="Arial"/>
      <charset val="0"/>
    </font>
    <font>
      <sz val="11"/>
      <color rgb="FF010CDD"/>
      <name val="Arial"/>
      <charset val="0"/>
    </font>
    <font>
      <sz val="11"/>
      <color rgb="FF010CDD"/>
      <name val="Arial"/>
      <charset val="134"/>
    </font>
    <font>
      <sz val="12"/>
      <color rgb="FF010CDD"/>
      <name val="宋体"/>
      <charset val="134"/>
    </font>
    <font>
      <sz val="9"/>
      <color rgb="FF010CDD"/>
      <name val="宋体"/>
      <charset val="134"/>
    </font>
    <font>
      <sz val="11"/>
      <color rgb="FF2727F0"/>
      <name val="Arial"/>
      <charset val="0"/>
    </font>
    <font>
      <sz val="11"/>
      <color rgb="FF2727F0"/>
      <name val="宋体"/>
      <charset val="134"/>
      <scheme val="minor"/>
    </font>
    <font>
      <b/>
      <sz val="12"/>
      <color rgb="FF2727F0"/>
      <name val="宋体"/>
      <charset val="134"/>
      <scheme val="minor"/>
    </font>
    <font>
      <sz val="10"/>
      <name val="等线"/>
      <charset val="134"/>
    </font>
    <font>
      <b/>
      <sz val="12"/>
      <color rgb="FF0000FF"/>
      <name val="宋体"/>
      <charset val="134"/>
      <scheme val="minor"/>
    </font>
    <font>
      <sz val="12"/>
      <color theme="1"/>
      <name val="宋体"/>
      <charset val="134"/>
      <scheme val="minor"/>
    </font>
    <font>
      <sz val="9"/>
      <color rgb="FF3E2CEA"/>
      <name val="宋体"/>
      <charset val="134"/>
      <scheme val="minor"/>
    </font>
    <font>
      <sz val="14"/>
      <color rgb="FF0000FF"/>
      <name val="宋体"/>
      <charset val="134"/>
    </font>
    <font>
      <sz val="11"/>
      <color rgb="FF1C05ED"/>
      <name val="Arial"/>
      <charset val="0"/>
    </font>
    <font>
      <sz val="10"/>
      <color rgb="FF1C05ED"/>
      <name val="宋体"/>
      <charset val="134"/>
    </font>
    <font>
      <sz val="10"/>
      <color rgb="FF0000FF"/>
      <name val="宋体"/>
      <charset val="134"/>
    </font>
    <font>
      <sz val="11"/>
      <name val="宋体"/>
      <charset val="0"/>
    </font>
    <font>
      <sz val="14"/>
      <color rgb="FF000000"/>
      <name val="宋体"/>
      <charset val="134"/>
      <scheme val="minor"/>
    </font>
    <font>
      <sz val="11"/>
      <color rgb="FF0000FF"/>
      <name val="等线"/>
      <charset val="134"/>
    </font>
    <font>
      <sz val="11"/>
      <color rgb="FF3E2CEA"/>
      <name val="等线"/>
      <charset val="134"/>
    </font>
    <font>
      <sz val="10"/>
      <color rgb="FF3E2CEA"/>
      <name val="等线"/>
      <charset val="134"/>
    </font>
    <font>
      <b/>
      <sz val="9"/>
      <name val="等线"/>
      <charset val="134"/>
    </font>
    <font>
      <b/>
      <sz val="11"/>
      <color rgb="FF7030A0"/>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0"/>
      <name val="Helv"/>
      <charset val="0"/>
    </font>
    <font>
      <sz val="12"/>
      <name val="新細明體"/>
      <charset val="136"/>
    </font>
    <font>
      <sz val="11"/>
      <name val="黑体"/>
      <charset val="134"/>
    </font>
    <font>
      <strike/>
      <sz val="11"/>
      <color theme="1"/>
      <name val="黑体"/>
      <charset val="134"/>
    </font>
    <font>
      <b/>
      <sz val="11"/>
      <color rgb="FFFFC000"/>
      <name val="宋体"/>
      <charset val="134"/>
    </font>
    <font>
      <b/>
      <sz val="11"/>
      <color rgb="FFFFC000"/>
      <name val="黑体"/>
      <charset val="134"/>
    </font>
    <font>
      <b/>
      <sz val="12"/>
      <color indexed="21"/>
      <name val="宋体"/>
      <charset val="134"/>
    </font>
    <font>
      <sz val="11"/>
      <color theme="0"/>
      <name val="黑体"/>
      <charset val="134"/>
    </font>
    <font>
      <b/>
      <sz val="11"/>
      <color theme="0"/>
      <name val="宋体"/>
      <charset val="134"/>
    </font>
    <font>
      <b/>
      <sz val="12"/>
      <color rgb="FF008080"/>
      <name val="宋体"/>
      <charset val="0"/>
    </font>
    <font>
      <b/>
      <sz val="11"/>
      <color rgb="FFFFFF00"/>
      <name val="黑体"/>
      <charset val="134"/>
    </font>
    <font>
      <sz val="11"/>
      <color rgb="FFFF0000"/>
      <name val="Times New Roman"/>
      <charset val="134"/>
    </font>
    <font>
      <b/>
      <sz val="12"/>
      <name val="宋体"/>
      <charset val="134"/>
    </font>
    <font>
      <b/>
      <sz val="12"/>
      <color rgb="FF00B050"/>
      <name val="宋体"/>
      <charset val="0"/>
    </font>
    <font>
      <sz val="9"/>
      <color rgb="FF010CDD"/>
      <name val="STSong-Light-Identity-H"/>
      <charset val="134"/>
    </font>
    <font>
      <b/>
      <sz val="11"/>
      <color theme="1"/>
      <name val="宋体"/>
      <charset val="134"/>
    </font>
    <font>
      <sz val="9"/>
      <name val="宋体"/>
      <charset val="134"/>
    </font>
    <font>
      <sz val="9"/>
      <name val="STSong-Light-Identity-H"/>
      <charset val="134"/>
    </font>
    <font>
      <sz val="10"/>
      <name val="宋体"/>
      <charset val="134"/>
    </font>
    <font>
      <sz val="10"/>
      <name val="Arial"/>
      <charset val="0"/>
    </font>
    <font>
      <b/>
      <sz val="10"/>
      <color indexed="12"/>
      <name val="宋体"/>
      <charset val="134"/>
    </font>
    <font>
      <b/>
      <sz val="10"/>
      <color indexed="12"/>
      <name val="Times New Roman"/>
      <charset val="0"/>
    </font>
    <font>
      <sz val="9"/>
      <name val="宋体"/>
      <charset val="134"/>
    </font>
    <font>
      <b/>
      <sz val="9"/>
      <name val="宋体"/>
      <charset val="134"/>
    </font>
    <font>
      <b/>
      <sz val="12"/>
      <name val="宋体"/>
      <charset val="134"/>
    </font>
    <font>
      <sz val="12"/>
      <name val="宋体"/>
      <charset val="134"/>
    </font>
    <font>
      <sz val="11"/>
      <name val="宋体"/>
      <charset val="134"/>
    </font>
    <font>
      <b/>
      <sz val="11"/>
      <name val="宋体"/>
      <charset val="134"/>
    </font>
  </fonts>
  <fills count="51">
    <fill>
      <patternFill patternType="none"/>
    </fill>
    <fill>
      <patternFill patternType="gray125"/>
    </fill>
    <fill>
      <patternFill patternType="solid">
        <fgColor theme="0"/>
        <bgColor indexed="64"/>
      </patternFill>
    </fill>
    <fill>
      <patternFill patternType="solid">
        <fgColor rgb="FF00B0F0"/>
        <bgColor indexed="64"/>
      </patternFill>
    </fill>
    <fill>
      <patternFill patternType="solid">
        <fgColor rgb="FFFFFF00"/>
        <bgColor indexed="64"/>
      </patternFill>
    </fill>
    <fill>
      <patternFill patternType="solid">
        <fgColor theme="0" tint="-0.499984740745262"/>
        <bgColor indexed="64"/>
      </patternFill>
    </fill>
    <fill>
      <patternFill patternType="solid">
        <fgColor rgb="FFA4FCB9"/>
        <bgColor indexed="64"/>
      </patternFill>
    </fill>
    <fill>
      <patternFill patternType="solid">
        <fgColor theme="9" tint="0.599993896298105"/>
        <bgColor indexed="64"/>
      </patternFill>
    </fill>
    <fill>
      <patternFill patternType="solid">
        <fgColor rgb="FF00B050"/>
        <bgColor indexed="64"/>
      </patternFill>
    </fill>
    <fill>
      <patternFill patternType="solid">
        <fgColor theme="0" tint="-0.149998474074526"/>
        <bgColor indexed="64"/>
      </patternFill>
    </fill>
    <fill>
      <patternFill patternType="solid">
        <fgColor theme="6"/>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indexed="9"/>
        <bgColor indexed="64"/>
      </patternFill>
    </fill>
    <fill>
      <patternFill patternType="solid">
        <fgColor theme="1" tint="0.349986266670736"/>
        <bgColor indexed="64"/>
      </patternFill>
    </fill>
    <fill>
      <patternFill patternType="solid">
        <fgColor rgb="FF99FF99"/>
        <bgColor indexed="64"/>
      </patternFill>
    </fill>
    <fill>
      <patternFill patternType="solid">
        <fgColor theme="9" tint="-0.499984740745262"/>
        <bgColor indexed="64"/>
      </patternFill>
    </fill>
    <fill>
      <patternFill patternType="solid">
        <fgColor rgb="FFFFFF99"/>
        <bgColor indexed="64"/>
      </patternFill>
    </fill>
    <fill>
      <patternFill patternType="solid">
        <fgColor theme="9" tint="0.6"/>
        <bgColor indexed="64"/>
      </patternFill>
    </fill>
    <fill>
      <patternFill patternType="solid">
        <fgColor rgb="FFFFFFFF"/>
        <bgColor indexed="64"/>
      </patternFill>
    </fill>
    <fill>
      <patternFill patternType="solid">
        <fgColor rgb="FFFFC000"/>
        <bgColor indexed="64"/>
      </patternFill>
    </fill>
    <fill>
      <patternFill patternType="solid">
        <fgColor theme="4"/>
        <bgColor indexed="64"/>
      </patternFill>
    </fill>
    <fill>
      <patternFill patternType="solid">
        <fgColor rgb="FF00B0F0"/>
        <bgColor indexed="64"/>
      </patternFill>
    </fill>
    <fill>
      <patternFill patternType="solid">
        <fgColor rgb="FF7030A0"/>
        <bgColor indexed="64"/>
      </patternFill>
    </fill>
    <fill>
      <patternFill patternType="solid">
        <fgColor rgb="FF0FB7FD"/>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399975585192419"/>
        <bgColor indexed="64"/>
      </patternFill>
    </fill>
  </fills>
  <borders count="5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style="thin">
        <color auto="1"/>
      </right>
      <top/>
      <bottom style="thin">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thin">
        <color auto="1"/>
      </top>
      <bottom/>
      <diagonal/>
    </border>
    <border>
      <left style="thin">
        <color auto="1"/>
      </left>
      <right/>
      <top style="medium">
        <color auto="1"/>
      </top>
      <bottom/>
      <diagonal/>
    </border>
    <border>
      <left style="thin">
        <color auto="1"/>
      </left>
      <right/>
      <top/>
      <bottom/>
      <diagonal/>
    </border>
    <border>
      <left style="thin">
        <color auto="1"/>
      </left>
      <right/>
      <top/>
      <bottom style="medium">
        <color auto="1"/>
      </bottom>
      <diagonal/>
    </border>
    <border>
      <left style="thin">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bottom style="thin">
        <color auto="1"/>
      </bottom>
      <diagonal/>
    </border>
    <border>
      <left style="thin">
        <color auto="1"/>
      </left>
      <right/>
      <top/>
      <bottom style="thin">
        <color auto="1"/>
      </bottom>
      <diagonal/>
    </border>
    <border>
      <left style="medium">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right style="thin">
        <color auto="1"/>
      </right>
      <top style="medium">
        <color auto="1"/>
      </top>
      <bottom/>
      <diagonal/>
    </border>
    <border>
      <left/>
      <right style="thin">
        <color auto="1"/>
      </right>
      <top/>
      <bottom/>
      <diagonal/>
    </border>
    <border>
      <left/>
      <right style="thin">
        <color auto="1"/>
      </right>
      <top/>
      <bottom style="medium">
        <color auto="1"/>
      </bottom>
      <diagonal/>
    </border>
    <border>
      <left/>
      <right/>
      <top/>
      <bottom style="thin">
        <color auto="1"/>
      </bottom>
      <diagonal/>
    </border>
    <border>
      <left style="medium">
        <color auto="1"/>
      </left>
      <right style="thin">
        <color auto="1"/>
      </right>
      <top style="thin">
        <color auto="1"/>
      </top>
      <bottom/>
      <diagonal/>
    </border>
    <border>
      <left/>
      <right style="thin">
        <color auto="1"/>
      </right>
      <top style="thin">
        <color auto="1"/>
      </top>
      <bottom/>
      <diagonal/>
    </border>
    <border>
      <left/>
      <right/>
      <top style="thin">
        <color auto="1"/>
      </top>
      <bottom/>
      <diagonal/>
    </border>
    <border>
      <left/>
      <right style="thin">
        <color auto="1"/>
      </right>
      <top style="medium">
        <color auto="1"/>
      </top>
      <bottom style="medium">
        <color auto="1"/>
      </bottom>
      <diagonal/>
    </border>
    <border>
      <left/>
      <right/>
      <top style="thin">
        <color auto="1"/>
      </top>
      <bottom style="medium">
        <color auto="1"/>
      </bottom>
      <diagonal/>
    </border>
    <border>
      <left/>
      <right/>
      <top style="medium">
        <color auto="1"/>
      </top>
      <bottom style="medium">
        <color auto="1"/>
      </bottom>
      <diagonal/>
    </border>
    <border>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medium">
        <color auto="1"/>
      </bottom>
      <diagonal/>
    </border>
    <border>
      <left/>
      <right style="medium">
        <color auto="1"/>
      </right>
      <top/>
      <bottom style="thin">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bottom style="medium">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93" fillId="0" borderId="0" applyNumberFormat="0" applyFill="0" applyBorder="0" applyAlignment="0" applyProtection="0">
      <alignment vertical="center"/>
    </xf>
    <xf numFmtId="0" fontId="194" fillId="0" borderId="0" applyNumberFormat="0" applyFill="0" applyBorder="0" applyAlignment="0" applyProtection="0">
      <alignment vertical="center"/>
    </xf>
    <xf numFmtId="0" fontId="0" fillId="25" borderId="44" applyNumberFormat="0" applyFont="0" applyAlignment="0" applyProtection="0">
      <alignment vertical="center"/>
    </xf>
    <xf numFmtId="0" fontId="195" fillId="0" borderId="0" applyNumberFormat="0" applyFill="0" applyBorder="0" applyAlignment="0" applyProtection="0">
      <alignment vertical="center"/>
    </xf>
    <xf numFmtId="0" fontId="196" fillId="0" borderId="0" applyNumberFormat="0" applyFill="0" applyBorder="0" applyAlignment="0" applyProtection="0">
      <alignment vertical="center"/>
    </xf>
    <xf numFmtId="0" fontId="197" fillId="0" borderId="0" applyNumberFormat="0" applyFill="0" applyBorder="0" applyAlignment="0" applyProtection="0">
      <alignment vertical="center"/>
    </xf>
    <xf numFmtId="0" fontId="198" fillId="0" borderId="45" applyNumberFormat="0" applyFill="0" applyAlignment="0" applyProtection="0">
      <alignment vertical="center"/>
    </xf>
    <xf numFmtId="0" fontId="199" fillId="0" borderId="45" applyNumberFormat="0" applyFill="0" applyAlignment="0" applyProtection="0">
      <alignment vertical="center"/>
    </xf>
    <xf numFmtId="0" fontId="200" fillId="0" borderId="46" applyNumberFormat="0" applyFill="0" applyAlignment="0" applyProtection="0">
      <alignment vertical="center"/>
    </xf>
    <xf numFmtId="0" fontId="200" fillId="0" borderId="0" applyNumberFormat="0" applyFill="0" applyBorder="0" applyAlignment="0" applyProtection="0">
      <alignment vertical="center"/>
    </xf>
    <xf numFmtId="0" fontId="201" fillId="26" borderId="47" applyNumberFormat="0" applyAlignment="0" applyProtection="0">
      <alignment vertical="center"/>
    </xf>
    <xf numFmtId="0" fontId="202" fillId="27" borderId="48" applyNumberFormat="0" applyAlignment="0" applyProtection="0">
      <alignment vertical="center"/>
    </xf>
    <xf numFmtId="0" fontId="203" fillId="27" borderId="47" applyNumberFormat="0" applyAlignment="0" applyProtection="0">
      <alignment vertical="center"/>
    </xf>
    <xf numFmtId="0" fontId="204" fillId="28" borderId="49" applyNumberFormat="0" applyAlignment="0" applyProtection="0">
      <alignment vertical="center"/>
    </xf>
    <xf numFmtId="0" fontId="205" fillId="0" borderId="50" applyNumberFormat="0" applyFill="0" applyAlignment="0" applyProtection="0">
      <alignment vertical="center"/>
    </xf>
    <xf numFmtId="0" fontId="206" fillId="0" borderId="51" applyNumberFormat="0" applyFill="0" applyAlignment="0" applyProtection="0">
      <alignment vertical="center"/>
    </xf>
    <xf numFmtId="0" fontId="207" fillId="29" borderId="0" applyNumberFormat="0" applyBorder="0" applyAlignment="0" applyProtection="0">
      <alignment vertical="center"/>
    </xf>
    <xf numFmtId="0" fontId="208" fillId="30" borderId="0" applyNumberFormat="0" applyBorder="0" applyAlignment="0" applyProtection="0">
      <alignment vertical="center"/>
    </xf>
    <xf numFmtId="0" fontId="209" fillId="31" borderId="0" applyNumberFormat="0" applyBorder="0" applyAlignment="0" applyProtection="0">
      <alignment vertical="center"/>
    </xf>
    <xf numFmtId="0" fontId="210" fillId="21" borderId="0" applyNumberFormat="0" applyBorder="0" applyAlignment="0" applyProtection="0">
      <alignment vertical="center"/>
    </xf>
    <xf numFmtId="0" fontId="211" fillId="32" borderId="0" applyNumberFormat="0" applyBorder="0" applyAlignment="0" applyProtection="0">
      <alignment vertical="center"/>
    </xf>
    <xf numFmtId="0" fontId="211" fillId="11" borderId="0" applyNumberFormat="0" applyBorder="0" applyAlignment="0" applyProtection="0">
      <alignment vertical="center"/>
    </xf>
    <xf numFmtId="0" fontId="210" fillId="33" borderId="0" applyNumberFormat="0" applyBorder="0" applyAlignment="0" applyProtection="0">
      <alignment vertical="center"/>
    </xf>
    <xf numFmtId="0" fontId="210" fillId="34" borderId="0" applyNumberFormat="0" applyBorder="0" applyAlignment="0" applyProtection="0">
      <alignment vertical="center"/>
    </xf>
    <xf numFmtId="0" fontId="211" fillId="35" borderId="0" applyNumberFormat="0" applyBorder="0" applyAlignment="0" applyProtection="0">
      <alignment vertical="center"/>
    </xf>
    <xf numFmtId="0" fontId="211" fillId="36" borderId="0" applyNumberFormat="0" applyBorder="0" applyAlignment="0" applyProtection="0">
      <alignment vertical="center"/>
    </xf>
    <xf numFmtId="0" fontId="210" fillId="37" borderId="0" applyNumberFormat="0" applyBorder="0" applyAlignment="0" applyProtection="0">
      <alignment vertical="center"/>
    </xf>
    <xf numFmtId="0" fontId="210" fillId="10" borderId="0" applyNumberFormat="0" applyBorder="0" applyAlignment="0" applyProtection="0">
      <alignment vertical="center"/>
    </xf>
    <xf numFmtId="0" fontId="211" fillId="38" borderId="0" applyNumberFormat="0" applyBorder="0" applyAlignment="0" applyProtection="0">
      <alignment vertical="center"/>
    </xf>
    <xf numFmtId="0" fontId="211" fillId="39" borderId="0" applyNumberFormat="0" applyBorder="0" applyAlignment="0" applyProtection="0">
      <alignment vertical="center"/>
    </xf>
    <xf numFmtId="0" fontId="210" fillId="40" borderId="0" applyNumberFormat="0" applyBorder="0" applyAlignment="0" applyProtection="0">
      <alignment vertical="center"/>
    </xf>
    <xf numFmtId="0" fontId="210" fillId="41" borderId="0" applyNumberFormat="0" applyBorder="0" applyAlignment="0" applyProtection="0">
      <alignment vertical="center"/>
    </xf>
    <xf numFmtId="0" fontId="211" fillId="42" borderId="0" applyNumberFormat="0" applyBorder="0" applyAlignment="0" applyProtection="0">
      <alignment vertical="center"/>
    </xf>
    <xf numFmtId="0" fontId="211" fillId="43" borderId="0" applyNumberFormat="0" applyBorder="0" applyAlignment="0" applyProtection="0">
      <alignment vertical="center"/>
    </xf>
    <xf numFmtId="0" fontId="210" fillId="44" borderId="0" applyNumberFormat="0" applyBorder="0" applyAlignment="0" applyProtection="0">
      <alignment vertical="center"/>
    </xf>
    <xf numFmtId="0" fontId="210" fillId="45" borderId="0" applyNumberFormat="0" applyBorder="0" applyAlignment="0" applyProtection="0">
      <alignment vertical="center"/>
    </xf>
    <xf numFmtId="0" fontId="211" fillId="12" borderId="0" applyNumberFormat="0" applyBorder="0" applyAlignment="0" applyProtection="0">
      <alignment vertical="center"/>
    </xf>
    <xf numFmtId="0" fontId="211" fillId="46" borderId="0" applyNumberFormat="0" applyBorder="0" applyAlignment="0" applyProtection="0">
      <alignment vertical="center"/>
    </xf>
    <xf numFmtId="0" fontId="210" fillId="47" borderId="0" applyNumberFormat="0" applyBorder="0" applyAlignment="0" applyProtection="0">
      <alignment vertical="center"/>
    </xf>
    <xf numFmtId="0" fontId="210" fillId="48" borderId="0" applyNumberFormat="0" applyBorder="0" applyAlignment="0" applyProtection="0">
      <alignment vertical="center"/>
    </xf>
    <xf numFmtId="0" fontId="211" fillId="49" borderId="0" applyNumberFormat="0" applyBorder="0" applyAlignment="0" applyProtection="0">
      <alignment vertical="center"/>
    </xf>
    <xf numFmtId="0" fontId="211" fillId="7" borderId="0" applyNumberFormat="0" applyBorder="0" applyAlignment="0" applyProtection="0">
      <alignment vertical="center"/>
    </xf>
    <xf numFmtId="0" fontId="210" fillId="50" borderId="0" applyNumberFormat="0" applyBorder="0" applyAlignment="0" applyProtection="0">
      <alignment vertical="center"/>
    </xf>
    <xf numFmtId="9" fontId="0" fillId="0" borderId="0" applyFont="0" applyFill="0" applyBorder="0" applyAlignment="0" applyProtection="0">
      <alignment vertical="center"/>
    </xf>
    <xf numFmtId="0" fontId="212" fillId="0" borderId="0"/>
    <xf numFmtId="0" fontId="0" fillId="0" borderId="0">
      <alignment vertical="center"/>
    </xf>
    <xf numFmtId="0" fontId="130" fillId="0" borderId="0">
      <alignment vertical="center"/>
    </xf>
    <xf numFmtId="0" fontId="213" fillId="0" borderId="0">
      <alignment vertical="center"/>
    </xf>
    <xf numFmtId="0" fontId="130" fillId="0" borderId="0"/>
    <xf numFmtId="0" fontId="130" fillId="0" borderId="0">
      <alignment vertical="center"/>
    </xf>
    <xf numFmtId="0" fontId="130" fillId="0" borderId="0">
      <alignment vertical="center"/>
    </xf>
    <xf numFmtId="0" fontId="0" fillId="0" borderId="0"/>
    <xf numFmtId="0" fontId="212" fillId="0" borderId="0"/>
  </cellStyleXfs>
  <cellXfs count="1294">
    <xf numFmtId="0" fontId="0" fillId="0" borderId="0" xfId="0">
      <alignment vertical="center"/>
    </xf>
    <xf numFmtId="0" fontId="1" fillId="0" borderId="0" xfId="0" applyFont="1">
      <alignment vertical="center"/>
    </xf>
    <xf numFmtId="0" fontId="2" fillId="0" borderId="1" xfId="0" applyFont="1" applyFill="1" applyBorder="1" applyAlignment="1">
      <alignment horizontal="center" vertical="center"/>
    </xf>
    <xf numFmtId="0" fontId="3" fillId="0" borderId="1" xfId="0" applyFont="1" applyFill="1" applyBorder="1" applyAlignment="1">
      <alignment horizontal="center" vertical="center"/>
    </xf>
    <xf numFmtId="0" fontId="4" fillId="0" borderId="1" xfId="0" applyFont="1" applyFill="1" applyBorder="1" applyAlignment="1">
      <alignment horizontal="center" vertical="center"/>
    </xf>
    <xf numFmtId="0" fontId="4" fillId="0" borderId="2" xfId="0" applyFont="1" applyFill="1" applyBorder="1" applyAlignment="1">
      <alignment horizontal="center" vertical="center"/>
    </xf>
    <xf numFmtId="0" fontId="5" fillId="0" borderId="1" xfId="0" applyFont="1" applyFill="1" applyBorder="1" applyAlignment="1">
      <alignment horizontal="center" vertical="center"/>
    </xf>
    <xf numFmtId="0" fontId="4" fillId="2" borderId="1" xfId="0" applyFont="1" applyFill="1" applyBorder="1" applyAlignment="1">
      <alignment horizontal="center" vertical="center"/>
    </xf>
    <xf numFmtId="0" fontId="3" fillId="2" borderId="1" xfId="0" applyFont="1" applyFill="1" applyBorder="1" applyAlignment="1">
      <alignment horizontal="center" vertical="center"/>
    </xf>
    <xf numFmtId="0" fontId="5" fillId="2" borderId="1" xfId="0" applyFont="1" applyFill="1" applyBorder="1" applyAlignment="1">
      <alignment horizontal="center" vertical="center"/>
    </xf>
    <xf numFmtId="0" fontId="4" fillId="3" borderId="1" xfId="0" applyFont="1" applyFill="1" applyBorder="1" applyAlignment="1">
      <alignment horizontal="center" vertical="center"/>
    </xf>
    <xf numFmtId="0" fontId="4" fillId="0" borderId="1" xfId="0" applyFont="1" applyFill="1" applyBorder="1" applyAlignment="1" applyProtection="1">
      <alignment horizontal="center" vertical="center"/>
      <protection locked="0"/>
    </xf>
    <xf numFmtId="176" fontId="6" fillId="0" borderId="1" xfId="0" applyNumberFormat="1" applyFont="1" applyFill="1" applyBorder="1" applyAlignment="1">
      <alignment horizontal="center" vertical="center" wrapText="1" shrinkToFit="1"/>
    </xf>
    <xf numFmtId="0" fontId="6" fillId="0" borderId="1" xfId="0" applyFont="1" applyFill="1" applyBorder="1" applyAlignment="1">
      <alignment horizontal="center" vertical="center" wrapText="1" shrinkToFit="1"/>
    </xf>
    <xf numFmtId="49" fontId="6" fillId="0" borderId="1" xfId="0" applyNumberFormat="1" applyFont="1" applyFill="1" applyBorder="1" applyAlignment="1">
      <alignment horizontal="center" vertical="center" wrapText="1" shrinkToFit="1"/>
    </xf>
    <xf numFmtId="176" fontId="2" fillId="0" borderId="1" xfId="0" applyNumberFormat="1" applyFont="1" applyFill="1" applyBorder="1" applyAlignment="1">
      <alignment horizontal="center" vertical="center" wrapText="1" shrinkToFit="1"/>
    </xf>
    <xf numFmtId="177" fontId="2" fillId="0" borderId="1" xfId="0" applyNumberFormat="1" applyFont="1" applyFill="1" applyBorder="1" applyAlignment="1">
      <alignment horizontal="center" vertical="center" wrapText="1" shrinkToFit="1"/>
    </xf>
    <xf numFmtId="0" fontId="2" fillId="0" borderId="1" xfId="0" applyFont="1" applyFill="1" applyBorder="1" applyAlignment="1">
      <alignment horizontal="center" vertical="center" wrapText="1" shrinkToFit="1"/>
    </xf>
    <xf numFmtId="0" fontId="2" fillId="0" borderId="1" xfId="0" applyFont="1" applyFill="1" applyBorder="1" applyAlignment="1">
      <alignment horizontal="center" vertical="center" wrapText="1"/>
    </xf>
    <xf numFmtId="0" fontId="7" fillId="0" borderId="1" xfId="0" applyFont="1" applyFill="1" applyBorder="1" applyAlignment="1">
      <alignment horizontal="center" vertical="center"/>
    </xf>
    <xf numFmtId="176" fontId="3" fillId="0" borderId="1" xfId="0" applyNumberFormat="1" applyFont="1" applyFill="1" applyBorder="1" applyAlignment="1">
      <alignment horizontal="center" vertical="center" wrapText="1" shrinkToFit="1"/>
    </xf>
    <xf numFmtId="0" fontId="3" fillId="0" borderId="1" xfId="0" applyFont="1" applyFill="1" applyBorder="1" applyAlignment="1">
      <alignment horizontal="center" vertical="center" wrapText="1"/>
    </xf>
    <xf numFmtId="0" fontId="3" fillId="0" borderId="1" xfId="0" applyFont="1" applyFill="1" applyBorder="1" applyAlignment="1">
      <alignment horizontal="center" vertical="center" wrapText="1" shrinkToFit="1"/>
    </xf>
    <xf numFmtId="177" fontId="3" fillId="0" borderId="1" xfId="0" applyNumberFormat="1" applyFont="1" applyFill="1" applyBorder="1" applyAlignment="1">
      <alignment horizontal="center" vertical="center" wrapText="1" shrinkToFit="1"/>
    </xf>
    <xf numFmtId="176" fontId="4" fillId="0" borderId="1" xfId="0" applyNumberFormat="1" applyFont="1" applyFill="1" applyBorder="1" applyAlignment="1">
      <alignment horizontal="center" vertical="center" wrapText="1" shrinkToFit="1"/>
    </xf>
    <xf numFmtId="0" fontId="4" fillId="0" borderId="1" xfId="0" applyFont="1" applyFill="1" applyBorder="1" applyAlignment="1">
      <alignment horizontal="center" vertical="center" wrapText="1"/>
    </xf>
    <xf numFmtId="0" fontId="4" fillId="0" borderId="1" xfId="0" applyFont="1" applyFill="1" applyBorder="1" applyAlignment="1">
      <alignment horizontal="center" vertical="center" wrapText="1" shrinkToFit="1"/>
    </xf>
    <xf numFmtId="49" fontId="4" fillId="0" borderId="1" xfId="0" applyNumberFormat="1" applyFont="1" applyFill="1" applyBorder="1" applyAlignment="1">
      <alignment horizontal="center" vertical="center" wrapText="1" shrinkToFit="1"/>
    </xf>
    <xf numFmtId="176" fontId="8" fillId="0" borderId="1" xfId="0" applyNumberFormat="1" applyFont="1" applyFill="1" applyBorder="1" applyAlignment="1">
      <alignment horizontal="center" vertical="center" wrapText="1" shrinkToFit="1"/>
    </xf>
    <xf numFmtId="0" fontId="8" fillId="0" borderId="1" xfId="0" applyFont="1" applyFill="1" applyBorder="1" applyAlignment="1">
      <alignment horizontal="center" vertical="center" wrapText="1" shrinkToFit="1"/>
    </xf>
    <xf numFmtId="49" fontId="8" fillId="0" borderId="1" xfId="0" applyNumberFormat="1" applyFont="1" applyFill="1" applyBorder="1" applyAlignment="1">
      <alignment horizontal="center" vertical="center" wrapText="1" shrinkToFit="1"/>
    </xf>
    <xf numFmtId="177" fontId="4" fillId="0" borderId="1" xfId="0" applyNumberFormat="1" applyFont="1" applyFill="1" applyBorder="1" applyAlignment="1">
      <alignment horizontal="center" vertical="center" wrapText="1" shrinkToFit="1"/>
    </xf>
    <xf numFmtId="177" fontId="4" fillId="0" borderId="2" xfId="0" applyNumberFormat="1" applyFont="1" applyFill="1" applyBorder="1" applyAlignment="1">
      <alignment horizontal="center" vertical="center" wrapText="1" shrinkToFit="1"/>
    </xf>
    <xf numFmtId="0" fontId="4" fillId="0" borderId="1" xfId="0" applyFont="1" applyFill="1" applyBorder="1" applyAlignment="1">
      <alignment horizontal="center" vertical="center" shrinkToFit="1"/>
    </xf>
    <xf numFmtId="176" fontId="4" fillId="0" borderId="2" xfId="0" applyNumberFormat="1" applyFont="1" applyFill="1" applyBorder="1" applyAlignment="1">
      <alignment horizontal="center" vertical="center" wrapText="1" shrinkToFit="1"/>
    </xf>
    <xf numFmtId="0" fontId="4" fillId="0" borderId="2" xfId="0" applyFont="1" applyFill="1" applyBorder="1" applyAlignment="1">
      <alignment horizontal="center" vertical="center" wrapText="1"/>
    </xf>
    <xf numFmtId="0" fontId="4" fillId="0" borderId="2" xfId="0" applyFont="1" applyFill="1" applyBorder="1" applyAlignment="1">
      <alignment horizontal="center" vertical="center" wrapText="1" shrinkToFit="1"/>
    </xf>
    <xf numFmtId="49" fontId="4" fillId="0" borderId="3" xfId="0" applyNumberFormat="1" applyFont="1" applyFill="1" applyBorder="1" applyAlignment="1">
      <alignment horizontal="center" vertical="center" wrapText="1" shrinkToFit="1"/>
    </xf>
    <xf numFmtId="0" fontId="4" fillId="0" borderId="3" xfId="0" applyFont="1" applyFill="1" applyBorder="1" applyAlignment="1">
      <alignment horizontal="center" vertical="center" wrapText="1" shrinkToFit="1"/>
    </xf>
    <xf numFmtId="178" fontId="9" fillId="0" borderId="1" xfId="0" applyNumberFormat="1" applyFont="1" applyFill="1" applyBorder="1" applyAlignment="1">
      <alignment horizontal="center" vertical="center" wrapText="1" shrinkToFit="1"/>
    </xf>
    <xf numFmtId="179" fontId="9" fillId="0" borderId="1" xfId="0" applyNumberFormat="1" applyFont="1" applyFill="1" applyBorder="1" applyAlignment="1">
      <alignment horizontal="center" vertical="center" wrapText="1" shrinkToFit="1"/>
    </xf>
    <xf numFmtId="177" fontId="6" fillId="0" borderId="1" xfId="0" applyNumberFormat="1" applyFont="1" applyFill="1" applyBorder="1" applyAlignment="1">
      <alignment horizontal="center" vertical="center" wrapText="1" shrinkToFit="1"/>
    </xf>
    <xf numFmtId="0" fontId="6" fillId="0" borderId="1" xfId="0" applyNumberFormat="1" applyFont="1" applyFill="1" applyBorder="1" applyAlignment="1">
      <alignment horizontal="center" vertical="center" wrapText="1" shrinkToFit="1"/>
    </xf>
    <xf numFmtId="180" fontId="2" fillId="0" borderId="1" xfId="0" applyNumberFormat="1" applyFont="1" applyFill="1" applyBorder="1" applyAlignment="1">
      <alignment horizontal="center" vertical="center" wrapText="1" shrinkToFit="1"/>
    </xf>
    <xf numFmtId="178" fontId="2" fillId="0" borderId="1" xfId="0" applyNumberFormat="1" applyFont="1" applyFill="1" applyBorder="1" applyAlignment="1">
      <alignment horizontal="center" vertical="center" wrapText="1" shrinkToFit="1"/>
    </xf>
    <xf numFmtId="179" fontId="2" fillId="0" borderId="1" xfId="0" applyNumberFormat="1" applyFont="1" applyFill="1" applyBorder="1" applyAlignment="1">
      <alignment horizontal="center" vertical="center" wrapText="1" shrinkToFit="1"/>
    </xf>
    <xf numFmtId="0" fontId="2" fillId="0" borderId="1" xfId="0" applyNumberFormat="1" applyFont="1" applyFill="1" applyBorder="1" applyAlignment="1">
      <alignment horizontal="center" vertical="center" wrapText="1" shrinkToFit="1"/>
    </xf>
    <xf numFmtId="180" fontId="3" fillId="0" borderId="1" xfId="0" applyNumberFormat="1" applyFont="1" applyFill="1" applyBorder="1" applyAlignment="1">
      <alignment horizontal="center" vertical="center" wrapText="1" shrinkToFit="1"/>
    </xf>
    <xf numFmtId="0" fontId="3" fillId="0" borderId="1" xfId="0" applyNumberFormat="1" applyFont="1" applyFill="1" applyBorder="1" applyAlignment="1">
      <alignment horizontal="center" vertical="center" wrapText="1" shrinkToFit="1"/>
    </xf>
    <xf numFmtId="180" fontId="4" fillId="0" borderId="1" xfId="0" applyNumberFormat="1" applyFont="1" applyFill="1" applyBorder="1" applyAlignment="1">
      <alignment horizontal="center" vertical="center" wrapText="1" shrinkToFit="1"/>
    </xf>
    <xf numFmtId="0" fontId="4" fillId="0" borderId="1" xfId="0" applyNumberFormat="1" applyFont="1" applyFill="1" applyBorder="1" applyAlignment="1">
      <alignment horizontal="center" vertical="center" wrapText="1" shrinkToFit="1"/>
    </xf>
    <xf numFmtId="177" fontId="2" fillId="0" borderId="2" xfId="0" applyNumberFormat="1" applyFont="1" applyFill="1" applyBorder="1" applyAlignment="1">
      <alignment horizontal="center" vertical="center" wrapText="1" shrinkToFit="1"/>
    </xf>
    <xf numFmtId="0" fontId="4" fillId="0" borderId="2" xfId="0" applyNumberFormat="1" applyFont="1" applyFill="1" applyBorder="1" applyAlignment="1">
      <alignment horizontal="center" vertical="center" wrapText="1" shrinkToFit="1"/>
    </xf>
    <xf numFmtId="177" fontId="4" fillId="4" borderId="1" xfId="0" applyNumberFormat="1" applyFont="1" applyFill="1" applyBorder="1" applyAlignment="1">
      <alignment horizontal="center" vertical="center" wrapText="1" shrinkToFit="1"/>
    </xf>
    <xf numFmtId="177" fontId="4" fillId="4" borderId="2" xfId="0" applyNumberFormat="1" applyFont="1" applyFill="1" applyBorder="1" applyAlignment="1">
      <alignment horizontal="center" vertical="center" wrapText="1" shrinkToFit="1"/>
    </xf>
    <xf numFmtId="0" fontId="10" fillId="0" borderId="1" xfId="0" applyFont="1" applyFill="1" applyBorder="1" applyAlignment="1">
      <alignment horizontal="center" vertical="center" wrapText="1" shrinkToFit="1"/>
    </xf>
    <xf numFmtId="181" fontId="6" fillId="0" borderId="1" xfId="0" applyNumberFormat="1" applyFont="1" applyFill="1" applyBorder="1" applyAlignment="1">
      <alignment horizontal="center" vertical="center" wrapText="1" shrinkToFit="1"/>
    </xf>
    <xf numFmtId="0" fontId="11" fillId="0" borderId="1" xfId="0" applyFont="1" applyFill="1" applyBorder="1" applyAlignment="1">
      <alignment horizontal="center" vertical="center" wrapText="1" shrinkToFit="1"/>
    </xf>
    <xf numFmtId="181" fontId="12" fillId="0" borderId="1" xfId="0" applyNumberFormat="1" applyFont="1" applyFill="1" applyBorder="1" applyAlignment="1">
      <alignment horizontal="center" vertical="center" wrapText="1" shrinkToFit="1"/>
    </xf>
    <xf numFmtId="58" fontId="11" fillId="0" borderId="1" xfId="0" applyNumberFormat="1" applyFont="1" applyFill="1" applyBorder="1" applyAlignment="1">
      <alignment horizontal="center" vertical="center" wrapText="1" shrinkToFit="1"/>
    </xf>
    <xf numFmtId="181" fontId="2" fillId="0" borderId="1" xfId="0" applyNumberFormat="1" applyFont="1" applyFill="1" applyBorder="1" applyAlignment="1">
      <alignment horizontal="center" vertical="center" wrapText="1" shrinkToFit="1"/>
    </xf>
    <xf numFmtId="181" fontId="3" fillId="0" borderId="1" xfId="0" applyNumberFormat="1" applyFont="1" applyFill="1" applyBorder="1" applyAlignment="1">
      <alignment horizontal="center" vertical="center" wrapText="1" shrinkToFit="1"/>
    </xf>
    <xf numFmtId="0" fontId="3" fillId="0" borderId="2" xfId="0" applyFont="1" applyFill="1" applyBorder="1" applyAlignment="1">
      <alignment horizontal="center" vertical="center" wrapText="1"/>
    </xf>
    <xf numFmtId="178" fontId="3" fillId="0" borderId="1" xfId="0" applyNumberFormat="1" applyFont="1" applyFill="1" applyBorder="1" applyAlignment="1">
      <alignment horizontal="center" vertical="center" wrapText="1" shrinkToFit="1"/>
    </xf>
    <xf numFmtId="179" fontId="3" fillId="0" borderId="1" xfId="0" applyNumberFormat="1" applyFont="1" applyFill="1" applyBorder="1" applyAlignment="1">
      <alignment horizontal="center" vertical="center" wrapText="1" shrinkToFit="1"/>
    </xf>
    <xf numFmtId="0" fontId="3" fillId="0" borderId="3" xfId="0" applyFont="1" applyFill="1" applyBorder="1" applyAlignment="1">
      <alignment horizontal="center" vertical="center" wrapText="1"/>
    </xf>
    <xf numFmtId="181" fontId="4" fillId="0" borderId="1" xfId="0" applyNumberFormat="1" applyFont="1" applyFill="1" applyBorder="1" applyAlignment="1">
      <alignment horizontal="center" vertical="center" wrapText="1" shrinkToFit="1"/>
    </xf>
    <xf numFmtId="178" fontId="4" fillId="0" borderId="1" xfId="0" applyNumberFormat="1" applyFont="1" applyFill="1" applyBorder="1" applyAlignment="1">
      <alignment horizontal="center" vertical="center" wrapText="1" shrinkToFit="1"/>
    </xf>
    <xf numFmtId="179" fontId="4" fillId="0" borderId="1" xfId="0" applyNumberFormat="1" applyFont="1" applyFill="1" applyBorder="1" applyAlignment="1">
      <alignment horizontal="center" vertical="center" wrapText="1" shrinkToFit="1"/>
    </xf>
    <xf numFmtId="182" fontId="4" fillId="0" borderId="1" xfId="0" applyNumberFormat="1" applyFont="1" applyFill="1" applyBorder="1" applyAlignment="1">
      <alignment horizontal="center" vertical="center" wrapText="1" shrinkToFit="1"/>
    </xf>
    <xf numFmtId="178" fontId="4" fillId="0" borderId="2" xfId="0" applyNumberFormat="1" applyFont="1" applyFill="1" applyBorder="1" applyAlignment="1">
      <alignment horizontal="center" vertical="center" wrapText="1" shrinkToFit="1"/>
    </xf>
    <xf numFmtId="179" fontId="4" fillId="0" borderId="2" xfId="0" applyNumberFormat="1" applyFont="1" applyFill="1" applyBorder="1" applyAlignment="1">
      <alignment horizontal="center" vertical="center" wrapText="1" shrinkToFit="1"/>
    </xf>
    <xf numFmtId="181" fontId="4" fillId="0" borderId="2" xfId="0" applyNumberFormat="1" applyFont="1" applyFill="1" applyBorder="1" applyAlignment="1">
      <alignment horizontal="center" vertical="center" wrapText="1" shrinkToFit="1"/>
    </xf>
    <xf numFmtId="0" fontId="4" fillId="0" borderId="3" xfId="0" applyFont="1" applyFill="1" applyBorder="1" applyAlignment="1">
      <alignment horizontal="center" vertical="center" wrapText="1"/>
    </xf>
    <xf numFmtId="0" fontId="13" fillId="0" borderId="1" xfId="0" applyFont="1" applyFill="1" applyBorder="1" applyAlignment="1">
      <alignment horizontal="center" vertical="center" wrapText="1" shrinkToFit="1"/>
    </xf>
    <xf numFmtId="0" fontId="14" fillId="0" borderId="1" xfId="0" applyFont="1" applyFill="1" applyBorder="1" applyAlignment="1">
      <alignment horizontal="center" vertical="center" wrapText="1"/>
    </xf>
    <xf numFmtId="0" fontId="15" fillId="0" borderId="1" xfId="0" applyFont="1" applyFill="1" applyBorder="1" applyAlignment="1">
      <alignment horizontal="center" vertical="center" wrapText="1" shrinkToFit="1"/>
    </xf>
    <xf numFmtId="0" fontId="16" fillId="0" borderId="1" xfId="0" applyFont="1" applyFill="1" applyBorder="1" applyAlignment="1">
      <alignment horizontal="center" vertical="center" wrapText="1"/>
    </xf>
    <xf numFmtId="0" fontId="10" fillId="0" borderId="1" xfId="0" applyFont="1" applyFill="1" applyBorder="1" applyAlignment="1">
      <alignment horizontal="center" vertical="center" wrapText="1"/>
    </xf>
    <xf numFmtId="0" fontId="14" fillId="0" borderId="1" xfId="0" applyFont="1" applyFill="1" applyBorder="1" applyAlignment="1">
      <alignment horizontal="center" vertical="center"/>
    </xf>
    <xf numFmtId="180" fontId="2" fillId="0" borderId="1" xfId="0" applyNumberFormat="1" applyFont="1" applyFill="1" applyBorder="1" applyAlignment="1">
      <alignment horizontal="center" vertical="center"/>
    </xf>
    <xf numFmtId="0" fontId="2" fillId="0" borderId="3" xfId="0" applyFont="1" applyFill="1" applyBorder="1" applyAlignment="1">
      <alignment horizontal="center" vertical="center" wrapText="1"/>
    </xf>
    <xf numFmtId="180" fontId="3" fillId="0" borderId="1" xfId="0" applyNumberFormat="1" applyFont="1" applyFill="1" applyBorder="1" applyAlignment="1">
      <alignment horizontal="center" vertical="center"/>
    </xf>
    <xf numFmtId="180" fontId="4" fillId="0" borderId="1" xfId="0" applyNumberFormat="1" applyFont="1" applyFill="1" applyBorder="1" applyAlignment="1">
      <alignment horizontal="center" vertical="center"/>
    </xf>
    <xf numFmtId="176" fontId="5" fillId="0" borderId="1" xfId="0" applyNumberFormat="1" applyFont="1" applyFill="1" applyBorder="1" applyAlignment="1">
      <alignment horizontal="center" vertical="center" wrapText="1" shrinkToFit="1"/>
    </xf>
    <xf numFmtId="0" fontId="5" fillId="0" borderId="1" xfId="0" applyFont="1" applyFill="1" applyBorder="1" applyAlignment="1">
      <alignment horizontal="center" vertical="center" wrapText="1" shrinkToFit="1"/>
    </xf>
    <xf numFmtId="0" fontId="5" fillId="0" borderId="2" xfId="0" applyFont="1" applyFill="1" applyBorder="1" applyAlignment="1">
      <alignment horizontal="center" vertical="center"/>
    </xf>
    <xf numFmtId="0" fontId="17" fillId="0" borderId="1" xfId="0" applyNumberFormat="1" applyFont="1" applyFill="1" applyBorder="1" applyAlignment="1">
      <alignment horizontal="center" vertical="center" wrapText="1"/>
    </xf>
    <xf numFmtId="0" fontId="5" fillId="4" borderId="1" xfId="0" applyFont="1" applyFill="1" applyBorder="1" applyAlignment="1">
      <alignment horizontal="center" vertical="center" wrapText="1" shrinkToFit="1"/>
    </xf>
    <xf numFmtId="180" fontId="5" fillId="0" borderId="1" xfId="0" applyNumberFormat="1" applyFont="1" applyFill="1" applyBorder="1" applyAlignment="1">
      <alignment horizontal="center" vertical="center" wrapText="1" shrinkToFit="1"/>
    </xf>
    <xf numFmtId="177" fontId="5" fillId="0" borderId="1" xfId="0" applyNumberFormat="1" applyFont="1" applyFill="1" applyBorder="1" applyAlignment="1">
      <alignment horizontal="center" vertical="center" wrapText="1" shrinkToFit="1"/>
    </xf>
    <xf numFmtId="0" fontId="5" fillId="0" borderId="1" xfId="0" applyNumberFormat="1" applyFont="1" applyFill="1" applyBorder="1" applyAlignment="1">
      <alignment horizontal="center" vertical="center" wrapText="1" shrinkToFit="1"/>
    </xf>
    <xf numFmtId="0" fontId="4" fillId="4" borderId="1" xfId="0" applyNumberFormat="1" applyFont="1" applyFill="1" applyBorder="1" applyAlignment="1">
      <alignment horizontal="center" vertical="center" wrapText="1" shrinkToFit="1"/>
    </xf>
    <xf numFmtId="183" fontId="4" fillId="0" borderId="1" xfId="0" applyNumberFormat="1" applyFont="1" applyFill="1" applyBorder="1" applyAlignment="1">
      <alignment horizontal="center" vertical="center" wrapText="1" shrinkToFit="1"/>
    </xf>
    <xf numFmtId="181" fontId="5" fillId="0" borderId="1" xfId="0" applyNumberFormat="1" applyFont="1" applyFill="1" applyBorder="1" applyAlignment="1">
      <alignment horizontal="center" vertical="center" wrapText="1" shrinkToFit="1"/>
    </xf>
    <xf numFmtId="0" fontId="5" fillId="4" borderId="1" xfId="0" applyFont="1" applyFill="1" applyBorder="1" applyAlignment="1">
      <alignment horizontal="center" vertical="center" wrapText="1"/>
    </xf>
    <xf numFmtId="183" fontId="5" fillId="0" borderId="1" xfId="0" applyNumberFormat="1" applyFont="1" applyFill="1" applyBorder="1" applyAlignment="1">
      <alignment horizontal="center" vertical="center" wrapText="1" shrinkToFit="1"/>
    </xf>
    <xf numFmtId="179" fontId="5" fillId="0" borderId="1" xfId="0" applyNumberFormat="1" applyFont="1" applyFill="1" applyBorder="1" applyAlignment="1">
      <alignment horizontal="center" vertical="center" wrapText="1" shrinkToFit="1"/>
    </xf>
    <xf numFmtId="0" fontId="5" fillId="0" borderId="1" xfId="0" applyFont="1" applyFill="1" applyBorder="1" applyAlignment="1">
      <alignment horizontal="center" vertical="center" wrapText="1"/>
    </xf>
    <xf numFmtId="182" fontId="4" fillId="0" borderId="2" xfId="0" applyNumberFormat="1" applyFont="1" applyFill="1" applyBorder="1" applyAlignment="1">
      <alignment horizontal="center" vertical="center" wrapText="1" shrinkToFit="1"/>
    </xf>
    <xf numFmtId="0" fontId="5" fillId="0" borderId="3" xfId="0" applyFont="1" applyFill="1" applyBorder="1" applyAlignment="1">
      <alignment horizontal="center" vertical="center" wrapText="1" shrinkToFit="1"/>
    </xf>
    <xf numFmtId="0" fontId="5" fillId="0" borderId="1" xfId="0" applyFont="1" applyFill="1" applyBorder="1" applyAlignment="1">
      <alignment vertical="center" wrapText="1" shrinkToFit="1"/>
    </xf>
    <xf numFmtId="0" fontId="18" fillId="0" borderId="1" xfId="0" applyFont="1" applyFill="1" applyBorder="1" applyAlignment="1">
      <alignment horizontal="center" vertical="center" wrapText="1" shrinkToFit="1"/>
    </xf>
    <xf numFmtId="0" fontId="4" fillId="0" borderId="1" xfId="0" applyFont="1" applyFill="1" applyBorder="1" applyAlignment="1">
      <alignment vertical="center" wrapText="1" shrinkToFit="1"/>
    </xf>
    <xf numFmtId="0" fontId="19" fillId="0" borderId="1" xfId="0" applyFont="1" applyFill="1" applyBorder="1" applyAlignment="1">
      <alignment horizontal="center" vertical="center" wrapText="1" shrinkToFit="1"/>
    </xf>
    <xf numFmtId="0" fontId="19" fillId="0" borderId="1" xfId="0" applyFont="1" applyFill="1" applyBorder="1" applyAlignment="1">
      <alignment horizontal="center" vertical="center" wrapText="1"/>
    </xf>
    <xf numFmtId="176" fontId="4" fillId="2" borderId="1" xfId="0" applyNumberFormat="1" applyFont="1" applyFill="1" applyBorder="1" applyAlignment="1">
      <alignment horizontal="center" vertical="center" wrapText="1" shrinkToFit="1"/>
    </xf>
    <xf numFmtId="0" fontId="19" fillId="2" borderId="2" xfId="0" applyFont="1" applyFill="1" applyBorder="1" applyAlignment="1">
      <alignment horizontal="center" vertical="center" wrapText="1" shrinkToFit="1"/>
    </xf>
    <xf numFmtId="0" fontId="19" fillId="2" borderId="4" xfId="0" applyFont="1" applyFill="1" applyBorder="1" applyAlignment="1">
      <alignment horizontal="center" vertical="center" wrapText="1"/>
    </xf>
    <xf numFmtId="0" fontId="4" fillId="2" borderId="1" xfId="0" applyFont="1" applyFill="1" applyBorder="1" applyAlignment="1">
      <alignment horizontal="center" vertical="center" wrapText="1" shrinkToFit="1"/>
    </xf>
    <xf numFmtId="177" fontId="4" fillId="2" borderId="2" xfId="0" applyNumberFormat="1" applyFont="1" applyFill="1" applyBorder="1" applyAlignment="1">
      <alignment horizontal="center" vertical="center" wrapText="1" shrinkToFit="1"/>
    </xf>
    <xf numFmtId="176" fontId="3" fillId="2" borderId="1" xfId="0" applyNumberFormat="1" applyFont="1" applyFill="1" applyBorder="1" applyAlignment="1">
      <alignment horizontal="center" vertical="center" wrapText="1" shrinkToFit="1"/>
    </xf>
    <xf numFmtId="0" fontId="3" fillId="2" borderId="1" xfId="0" applyFont="1" applyFill="1" applyBorder="1" applyAlignment="1">
      <alignment horizontal="center" vertical="center" wrapText="1"/>
    </xf>
    <xf numFmtId="0" fontId="19" fillId="2" borderId="1" xfId="0" applyFont="1" applyFill="1" applyBorder="1" applyAlignment="1">
      <alignment horizontal="center" vertical="center" wrapText="1"/>
    </xf>
    <xf numFmtId="0" fontId="3" fillId="2" borderId="1" xfId="0" applyFont="1" applyFill="1" applyBorder="1" applyAlignment="1">
      <alignment horizontal="center" vertical="center" wrapText="1" shrinkToFit="1"/>
    </xf>
    <xf numFmtId="49" fontId="3" fillId="2" borderId="1" xfId="0" applyNumberFormat="1" applyFont="1" applyFill="1" applyBorder="1" applyAlignment="1">
      <alignment horizontal="center" vertical="center" wrapText="1" shrinkToFit="1"/>
    </xf>
    <xf numFmtId="176" fontId="5" fillId="2" borderId="1" xfId="0" applyNumberFormat="1" applyFont="1" applyFill="1" applyBorder="1" applyAlignment="1">
      <alignment horizontal="center" vertical="center" wrapText="1" shrinkToFit="1"/>
    </xf>
    <xf numFmtId="0" fontId="20" fillId="2" borderId="1" xfId="0" applyFont="1" applyFill="1" applyBorder="1" applyAlignment="1">
      <alignment horizontal="center" vertical="center" wrapText="1" shrinkToFit="1"/>
    </xf>
    <xf numFmtId="0" fontId="20" fillId="2" borderId="2" xfId="0" applyFont="1" applyFill="1" applyBorder="1" applyAlignment="1">
      <alignment horizontal="center" vertical="center" wrapText="1"/>
    </xf>
    <xf numFmtId="0" fontId="5" fillId="2" borderId="1" xfId="0" applyFont="1" applyFill="1" applyBorder="1" applyAlignment="1">
      <alignment horizontal="center" vertical="center" wrapText="1" shrinkToFit="1"/>
    </xf>
    <xf numFmtId="177" fontId="21" fillId="2" borderId="3" xfId="0" applyNumberFormat="1" applyFont="1" applyFill="1" applyBorder="1" applyAlignment="1">
      <alignment horizontal="center" vertical="center" shrinkToFit="1"/>
    </xf>
    <xf numFmtId="0" fontId="21" fillId="2" borderId="3" xfId="0" applyNumberFormat="1" applyFont="1" applyFill="1" applyBorder="1" applyAlignment="1">
      <alignment horizontal="center" vertical="center" wrapText="1"/>
    </xf>
    <xf numFmtId="184" fontId="21" fillId="2" borderId="3" xfId="0" applyNumberFormat="1" applyFont="1" applyFill="1" applyBorder="1" applyAlignment="1">
      <alignment horizontal="center" vertical="center" wrapText="1"/>
    </xf>
    <xf numFmtId="0" fontId="22" fillId="2" borderId="3" xfId="0" applyNumberFormat="1" applyFont="1" applyFill="1" applyBorder="1" applyAlignment="1">
      <alignment horizontal="center" vertical="center" shrinkToFit="1"/>
    </xf>
    <xf numFmtId="0" fontId="23" fillId="2" borderId="3" xfId="0" applyNumberFormat="1" applyFont="1" applyFill="1" applyBorder="1" applyAlignment="1">
      <alignment horizontal="center" vertical="center" wrapText="1"/>
    </xf>
    <xf numFmtId="0" fontId="22" fillId="2" borderId="1" xfId="0" applyFont="1" applyFill="1" applyBorder="1" applyAlignment="1">
      <alignment horizontal="center" vertical="center" wrapText="1" shrinkToFit="1"/>
    </xf>
    <xf numFmtId="0" fontId="24" fillId="2" borderId="1" xfId="0" applyFont="1" applyFill="1" applyBorder="1" applyAlignment="1">
      <alignment horizontal="center" vertical="center" wrapText="1"/>
    </xf>
    <xf numFmtId="0" fontId="19" fillId="2" borderId="2" xfId="0" applyFont="1" applyFill="1" applyBorder="1" applyAlignment="1">
      <alignment horizontal="center" vertical="center" wrapText="1"/>
    </xf>
    <xf numFmtId="176" fontId="3" fillId="2" borderId="3" xfId="0" applyNumberFormat="1" applyFont="1" applyFill="1" applyBorder="1" applyAlignment="1">
      <alignment horizontal="center" vertical="center" wrapText="1" shrinkToFit="1"/>
    </xf>
    <xf numFmtId="0" fontId="3" fillId="2" borderId="3" xfId="0" applyFont="1" applyFill="1" applyBorder="1" applyAlignment="1">
      <alignment horizontal="center" vertical="center" wrapText="1"/>
    </xf>
    <xf numFmtId="0" fontId="3" fillId="2" borderId="3" xfId="0" applyFont="1" applyFill="1" applyBorder="1" applyAlignment="1">
      <alignment horizontal="center" vertical="center" wrapText="1" shrinkToFit="1"/>
    </xf>
    <xf numFmtId="0" fontId="4" fillId="2" borderId="3" xfId="0" applyFont="1" applyFill="1" applyBorder="1" applyAlignment="1">
      <alignment horizontal="center" vertical="center"/>
    </xf>
    <xf numFmtId="176" fontId="3" fillId="0" borderId="3" xfId="0" applyNumberFormat="1" applyFont="1" applyFill="1" applyBorder="1" applyAlignment="1">
      <alignment horizontal="center" vertical="center" wrapText="1" shrinkToFit="1"/>
    </xf>
    <xf numFmtId="0" fontId="3" fillId="0" borderId="3" xfId="0" applyFont="1" applyFill="1" applyBorder="1" applyAlignment="1">
      <alignment horizontal="center" vertical="center" wrapText="1" shrinkToFit="1"/>
    </xf>
    <xf numFmtId="0" fontId="22" fillId="0" borderId="3" xfId="0" applyNumberFormat="1" applyFont="1" applyFill="1" applyBorder="1" applyAlignment="1">
      <alignment horizontal="center" vertical="center" shrinkToFit="1"/>
    </xf>
    <xf numFmtId="0" fontId="21" fillId="0" borderId="3" xfId="0" applyNumberFormat="1" applyFont="1" applyFill="1" applyBorder="1" applyAlignment="1">
      <alignment horizontal="center" vertical="center" wrapText="1"/>
    </xf>
    <xf numFmtId="58" fontId="4" fillId="0" borderId="1" xfId="0" applyNumberFormat="1" applyFont="1" applyFill="1" applyBorder="1" applyAlignment="1">
      <alignment horizontal="center" vertical="center" wrapText="1" shrinkToFit="1"/>
    </xf>
    <xf numFmtId="0" fontId="4" fillId="2" borderId="2" xfId="0" applyFont="1" applyFill="1" applyBorder="1" applyAlignment="1">
      <alignment horizontal="center" vertical="center" wrapText="1" shrinkToFit="1"/>
    </xf>
    <xf numFmtId="180" fontId="4" fillId="2" borderId="1" xfId="0" applyNumberFormat="1" applyFont="1" applyFill="1" applyBorder="1" applyAlignment="1">
      <alignment horizontal="center" vertical="center" wrapText="1" shrinkToFit="1"/>
    </xf>
    <xf numFmtId="177" fontId="4" fillId="2" borderId="1" xfId="0" applyNumberFormat="1" applyFont="1" applyFill="1" applyBorder="1" applyAlignment="1">
      <alignment horizontal="center" vertical="center" wrapText="1" shrinkToFit="1"/>
    </xf>
    <xf numFmtId="0" fontId="4" fillId="2" borderId="1" xfId="0" applyNumberFormat="1" applyFont="1" applyFill="1" applyBorder="1" applyAlignment="1">
      <alignment horizontal="center" vertical="center" wrapText="1" shrinkToFit="1"/>
    </xf>
    <xf numFmtId="180" fontId="3" fillId="2" borderId="1" xfId="0" applyNumberFormat="1" applyFont="1" applyFill="1" applyBorder="1" applyAlignment="1">
      <alignment horizontal="center" vertical="center" wrapText="1" shrinkToFit="1"/>
    </xf>
    <xf numFmtId="177" fontId="3" fillId="2" borderId="1" xfId="0" applyNumberFormat="1" applyFont="1" applyFill="1" applyBorder="1" applyAlignment="1">
      <alignment horizontal="center" vertical="center" wrapText="1" shrinkToFit="1"/>
    </xf>
    <xf numFmtId="0" fontId="3" fillId="2" borderId="1" xfId="0" applyNumberFormat="1" applyFont="1" applyFill="1" applyBorder="1" applyAlignment="1">
      <alignment horizontal="center" vertical="center" wrapText="1" shrinkToFit="1"/>
    </xf>
    <xf numFmtId="180" fontId="5" fillId="2" borderId="1" xfId="0" applyNumberFormat="1" applyFont="1" applyFill="1" applyBorder="1" applyAlignment="1">
      <alignment horizontal="center" vertical="center" wrapText="1" shrinkToFit="1"/>
    </xf>
    <xf numFmtId="177" fontId="5" fillId="2" borderId="1" xfId="0" applyNumberFormat="1" applyFont="1" applyFill="1" applyBorder="1" applyAlignment="1">
      <alignment horizontal="center" vertical="center" wrapText="1" shrinkToFit="1"/>
    </xf>
    <xf numFmtId="0" fontId="5" fillId="2" borderId="1" xfId="0" applyNumberFormat="1" applyFont="1" applyFill="1" applyBorder="1" applyAlignment="1">
      <alignment horizontal="center" vertical="center" wrapText="1" shrinkToFit="1"/>
    </xf>
    <xf numFmtId="0" fontId="22" fillId="2" borderId="1" xfId="0" applyFont="1" applyFill="1" applyBorder="1" applyAlignment="1">
      <alignment horizontal="center" vertical="center"/>
    </xf>
    <xf numFmtId="0" fontId="25" fillId="2" borderId="1" xfId="0" applyFont="1" applyFill="1" applyBorder="1" applyAlignment="1">
      <alignment horizontal="center" vertical="center" wrapText="1" shrinkToFit="1"/>
    </xf>
    <xf numFmtId="177" fontId="24" fillId="2" borderId="1" xfId="0" applyNumberFormat="1" applyFont="1" applyFill="1" applyBorder="1" applyAlignment="1">
      <alignment horizontal="center" vertical="center" wrapText="1" shrinkToFit="1"/>
    </xf>
    <xf numFmtId="0" fontId="22" fillId="0" borderId="1" xfId="0" applyFont="1" applyFill="1" applyBorder="1" applyAlignment="1">
      <alignment horizontal="center" vertical="center" wrapText="1"/>
    </xf>
    <xf numFmtId="181" fontId="4" fillId="2" borderId="2" xfId="0" applyNumberFormat="1" applyFont="1" applyFill="1" applyBorder="1" applyAlignment="1">
      <alignment horizontal="center" vertical="center" wrapText="1" shrinkToFit="1"/>
    </xf>
    <xf numFmtId="0" fontId="4" fillId="2" borderId="1" xfId="0" applyFont="1" applyFill="1" applyBorder="1" applyAlignment="1">
      <alignment horizontal="center" vertical="center" wrapText="1"/>
    </xf>
    <xf numFmtId="182" fontId="4" fillId="2" borderId="2" xfId="0" applyNumberFormat="1" applyFont="1" applyFill="1" applyBorder="1" applyAlignment="1">
      <alignment horizontal="center" vertical="center" wrapText="1" shrinkToFit="1"/>
    </xf>
    <xf numFmtId="179" fontId="4" fillId="2" borderId="2" xfId="0" applyNumberFormat="1" applyFont="1" applyFill="1" applyBorder="1" applyAlignment="1">
      <alignment horizontal="center" vertical="center" wrapText="1" shrinkToFit="1"/>
    </xf>
    <xf numFmtId="181" fontId="3" fillId="2" borderId="1" xfId="0" applyNumberFormat="1" applyFont="1" applyFill="1" applyBorder="1" applyAlignment="1">
      <alignment horizontal="center" vertical="center" wrapText="1" shrinkToFit="1"/>
    </xf>
    <xf numFmtId="183" fontId="3" fillId="2" borderId="1" xfId="0" applyNumberFormat="1" applyFont="1" applyFill="1" applyBorder="1" applyAlignment="1">
      <alignment horizontal="center" vertical="center" wrapText="1" shrinkToFit="1"/>
    </xf>
    <xf numFmtId="179" fontId="3" fillId="2" borderId="1" xfId="0" applyNumberFormat="1" applyFont="1" applyFill="1" applyBorder="1" applyAlignment="1">
      <alignment horizontal="center" vertical="center" wrapText="1" shrinkToFit="1"/>
    </xf>
    <xf numFmtId="181" fontId="5" fillId="2" borderId="2" xfId="0" applyNumberFormat="1" applyFont="1" applyFill="1" applyBorder="1" applyAlignment="1">
      <alignment horizontal="center" vertical="center" wrapText="1" shrinkToFit="1"/>
    </xf>
    <xf numFmtId="0" fontId="5" fillId="2" borderId="1" xfId="0" applyFont="1" applyFill="1" applyBorder="1" applyAlignment="1">
      <alignment horizontal="center" vertical="center" wrapText="1"/>
    </xf>
    <xf numFmtId="183" fontId="5" fillId="2" borderId="1" xfId="0" applyNumberFormat="1" applyFont="1" applyFill="1" applyBorder="1" applyAlignment="1">
      <alignment horizontal="center" vertical="center" wrapText="1" shrinkToFit="1"/>
    </xf>
    <xf numFmtId="179" fontId="5" fillId="2" borderId="1" xfId="0" applyNumberFormat="1" applyFont="1" applyFill="1" applyBorder="1" applyAlignment="1">
      <alignment horizontal="center" vertical="center" wrapText="1" shrinkToFit="1"/>
    </xf>
    <xf numFmtId="183" fontId="4" fillId="2" borderId="1" xfId="0" applyNumberFormat="1" applyFont="1" applyFill="1" applyBorder="1" applyAlignment="1">
      <alignment horizontal="center" vertical="center" wrapText="1" shrinkToFit="1"/>
    </xf>
    <xf numFmtId="179" fontId="4" fillId="2" borderId="1" xfId="0" applyNumberFormat="1" applyFont="1" applyFill="1" applyBorder="1" applyAlignment="1">
      <alignment horizontal="center" vertical="center" wrapText="1" shrinkToFit="1"/>
    </xf>
    <xf numFmtId="0" fontId="22" fillId="2" borderId="3" xfId="0" applyFont="1" applyFill="1" applyBorder="1" applyAlignment="1">
      <alignment horizontal="center" vertical="center" wrapText="1"/>
    </xf>
    <xf numFmtId="0" fontId="19" fillId="2" borderId="1" xfId="0" applyNumberFormat="1" applyFont="1" applyFill="1" applyBorder="1" applyAlignment="1">
      <alignment horizontal="center" vertical="center" wrapText="1" shrinkToFit="1"/>
    </xf>
    <xf numFmtId="0" fontId="19" fillId="2"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177" fontId="4" fillId="2" borderId="3" xfId="0" applyNumberFormat="1" applyFont="1" applyFill="1" applyBorder="1" applyAlignment="1">
      <alignment horizontal="center" vertical="center" wrapText="1" shrinkToFit="1"/>
    </xf>
    <xf numFmtId="0" fontId="21" fillId="2" borderId="5" xfId="0" applyNumberFormat="1" applyFont="1" applyFill="1" applyBorder="1" applyAlignment="1">
      <alignment horizontal="center" vertical="center" wrapText="1"/>
    </xf>
    <xf numFmtId="0" fontId="21" fillId="2" borderId="1" xfId="0" applyNumberFormat="1" applyFont="1" applyFill="1" applyBorder="1" applyAlignment="1">
      <alignment horizontal="center" vertical="center" wrapText="1"/>
    </xf>
    <xf numFmtId="185" fontId="22" fillId="2" borderId="1" xfId="0" applyNumberFormat="1" applyFont="1" applyFill="1" applyBorder="1" applyAlignment="1">
      <alignment horizontal="center" vertical="center"/>
    </xf>
    <xf numFmtId="181" fontId="26" fillId="2" borderId="1" xfId="0" applyNumberFormat="1" applyFont="1" applyFill="1" applyBorder="1" applyAlignment="1">
      <alignment horizontal="center" vertical="center" wrapText="1"/>
    </xf>
    <xf numFmtId="58" fontId="4" fillId="2" borderId="1" xfId="0" applyNumberFormat="1" applyFont="1" applyFill="1" applyBorder="1" applyAlignment="1">
      <alignment horizontal="center" vertical="center" wrapText="1" shrinkToFit="1"/>
    </xf>
    <xf numFmtId="177" fontId="4" fillId="0" borderId="5" xfId="0" applyNumberFormat="1" applyFont="1" applyFill="1" applyBorder="1" applyAlignment="1">
      <alignment horizontal="center" vertical="center" wrapText="1" shrinkToFit="1"/>
    </xf>
    <xf numFmtId="186" fontId="4" fillId="0" borderId="1" xfId="0" applyNumberFormat="1" applyFont="1" applyFill="1" applyBorder="1" applyAlignment="1">
      <alignment horizontal="center" vertical="center" wrapText="1"/>
    </xf>
    <xf numFmtId="0" fontId="4" fillId="2" borderId="3" xfId="0" applyFont="1" applyFill="1" applyBorder="1" applyAlignment="1">
      <alignment horizontal="center" vertical="center" wrapText="1" shrinkToFit="1"/>
    </xf>
    <xf numFmtId="0" fontId="4" fillId="2" borderId="1" xfId="0" applyFont="1" applyFill="1" applyBorder="1" applyAlignment="1">
      <alignment vertical="center" wrapText="1" shrinkToFit="1"/>
    </xf>
    <xf numFmtId="0" fontId="5" fillId="2" borderId="3" xfId="0" applyFont="1" applyFill="1" applyBorder="1" applyAlignment="1">
      <alignment horizontal="center" vertical="center" wrapText="1" shrinkToFit="1"/>
    </xf>
    <xf numFmtId="0" fontId="5" fillId="2" borderId="1" xfId="0" applyFont="1" applyFill="1" applyBorder="1" applyAlignment="1">
      <alignment vertical="center" wrapText="1" shrinkToFit="1"/>
    </xf>
    <xf numFmtId="0" fontId="4" fillId="2" borderId="2" xfId="0" applyFont="1" applyFill="1" applyBorder="1" applyAlignment="1">
      <alignment vertical="center" wrapText="1" shrinkToFit="1"/>
    </xf>
    <xf numFmtId="0" fontId="4" fillId="2" borderId="2" xfId="0" applyNumberFormat="1" applyFont="1" applyFill="1" applyBorder="1" applyAlignment="1">
      <alignment horizontal="center" vertical="center" wrapText="1" shrinkToFit="1"/>
    </xf>
    <xf numFmtId="181" fontId="27" fillId="2" borderId="1" xfId="0" applyNumberFormat="1" applyFont="1" applyFill="1" applyBorder="1" applyAlignment="1">
      <alignment horizontal="center" vertical="center" wrapText="1" shrinkToFit="1"/>
    </xf>
    <xf numFmtId="0" fontId="4" fillId="4" borderId="1" xfId="0" applyFont="1" applyFill="1" applyBorder="1" applyAlignment="1">
      <alignment horizontal="center" vertical="center" wrapText="1" shrinkToFit="1"/>
    </xf>
    <xf numFmtId="0" fontId="4" fillId="0" borderId="1" xfId="0" applyFont="1" applyFill="1" applyBorder="1" applyAlignment="1">
      <alignment horizontal="left" vertical="center" wrapText="1" shrinkToFit="1"/>
    </xf>
    <xf numFmtId="0" fontId="4" fillId="0" borderId="2" xfId="0" applyFont="1" applyFill="1" applyBorder="1" applyAlignment="1">
      <alignment vertical="center" wrapText="1" shrinkToFit="1"/>
    </xf>
    <xf numFmtId="181" fontId="5" fillId="2" borderId="1" xfId="0" applyNumberFormat="1" applyFont="1" applyFill="1" applyBorder="1" applyAlignment="1">
      <alignment horizontal="center" vertical="center" wrapText="1" shrinkToFit="1"/>
    </xf>
    <xf numFmtId="181" fontId="4" fillId="2" borderId="1" xfId="0" applyNumberFormat="1" applyFont="1" applyFill="1" applyBorder="1" applyAlignment="1">
      <alignment horizontal="center" vertical="center" wrapText="1" shrinkToFit="1"/>
    </xf>
    <xf numFmtId="0" fontId="5" fillId="3" borderId="1" xfId="0" applyFont="1" applyFill="1" applyBorder="1" applyAlignment="1">
      <alignment horizontal="center" vertical="center"/>
    </xf>
    <xf numFmtId="0" fontId="4" fillId="2" borderId="2" xfId="0" applyFont="1" applyFill="1" applyBorder="1" applyAlignment="1">
      <alignment horizontal="center" vertical="center"/>
    </xf>
    <xf numFmtId="0" fontId="5" fillId="2" borderId="2" xfId="0" applyFont="1" applyFill="1" applyBorder="1" applyAlignment="1">
      <alignment horizontal="center" vertical="center"/>
    </xf>
    <xf numFmtId="187" fontId="4" fillId="0" borderId="1" xfId="0" applyNumberFormat="1" applyFont="1" applyFill="1" applyBorder="1" applyAlignment="1">
      <alignment horizontal="center" vertical="center"/>
    </xf>
    <xf numFmtId="180" fontId="4" fillId="2" borderId="1" xfId="0" applyNumberFormat="1" applyFont="1" applyFill="1" applyBorder="1" applyAlignment="1">
      <alignment horizontal="center" vertical="center"/>
    </xf>
    <xf numFmtId="177" fontId="21" fillId="0" borderId="3" xfId="0" applyNumberFormat="1" applyFont="1" applyFill="1" applyBorder="1" applyAlignment="1">
      <alignment horizontal="center" vertical="center" shrinkToFit="1"/>
    </xf>
    <xf numFmtId="184" fontId="21" fillId="0" borderId="1" xfId="0" applyNumberFormat="1" applyFont="1" applyFill="1" applyBorder="1" applyAlignment="1">
      <alignment horizontal="center" vertical="center" wrapText="1"/>
    </xf>
    <xf numFmtId="0" fontId="21" fillId="0" borderId="1" xfId="0" applyNumberFormat="1" applyFont="1" applyFill="1" applyBorder="1" applyAlignment="1">
      <alignment horizontal="center" vertical="center"/>
    </xf>
    <xf numFmtId="0" fontId="23" fillId="0" borderId="1" xfId="0" applyNumberFormat="1" applyFont="1" applyFill="1" applyBorder="1" applyAlignment="1">
      <alignment horizontal="center" vertical="center" wrapText="1"/>
    </xf>
    <xf numFmtId="177" fontId="28" fillId="0" borderId="3" xfId="0" applyNumberFormat="1" applyFont="1" applyFill="1" applyBorder="1" applyAlignment="1">
      <alignment horizontal="center" vertical="center" shrinkToFit="1"/>
    </xf>
    <xf numFmtId="0" fontId="29" fillId="0" borderId="3" xfId="0" applyFont="1" applyFill="1" applyBorder="1" applyAlignment="1">
      <alignment horizontal="center" vertical="center" wrapText="1"/>
    </xf>
    <xf numFmtId="0" fontId="30" fillId="0" borderId="3" xfId="0" applyNumberFormat="1" applyFont="1" applyFill="1" applyBorder="1" applyAlignment="1">
      <alignment horizontal="center" vertical="center" shrinkToFit="1"/>
    </xf>
    <xf numFmtId="176" fontId="3" fillId="3" borderId="3" xfId="0" applyNumberFormat="1" applyFont="1" applyFill="1" applyBorder="1" applyAlignment="1">
      <alignment horizontal="center" vertical="center" wrapText="1" shrinkToFit="1"/>
    </xf>
    <xf numFmtId="0" fontId="3" fillId="3" borderId="3" xfId="0" applyFont="1" applyFill="1" applyBorder="1" applyAlignment="1">
      <alignment horizontal="center" vertical="center" wrapText="1"/>
    </xf>
    <xf numFmtId="0" fontId="3" fillId="3" borderId="1" xfId="0" applyFont="1" applyFill="1" applyBorder="1" applyAlignment="1">
      <alignment horizontal="center" vertical="center" wrapText="1" shrinkToFit="1"/>
    </xf>
    <xf numFmtId="0" fontId="22" fillId="3" borderId="1" xfId="0" applyNumberFormat="1" applyFont="1" applyFill="1" applyBorder="1" applyAlignment="1">
      <alignment horizontal="center" vertical="center" shrinkToFit="1"/>
    </xf>
    <xf numFmtId="0" fontId="31" fillId="3" borderId="1" xfId="0" applyFont="1" applyFill="1" applyBorder="1" applyAlignment="1">
      <alignment horizontal="center" vertical="center"/>
    </xf>
    <xf numFmtId="0" fontId="4" fillId="3" borderId="1" xfId="0" applyFont="1" applyFill="1" applyBorder="1" applyAlignment="1">
      <alignment horizontal="center" vertical="center" wrapText="1" shrinkToFit="1"/>
    </xf>
    <xf numFmtId="0" fontId="26" fillId="0" borderId="3" xfId="0" applyFont="1" applyFill="1" applyBorder="1" applyAlignment="1">
      <alignment horizontal="center" vertical="center" wrapText="1"/>
    </xf>
    <xf numFmtId="0" fontId="24" fillId="0" borderId="1" xfId="0" applyFont="1" applyFill="1" applyBorder="1" applyAlignment="1">
      <alignment horizontal="center" vertical="center" wrapText="1" shrinkToFit="1"/>
    </xf>
    <xf numFmtId="0" fontId="22" fillId="0" borderId="1" xfId="0" applyNumberFormat="1" applyFont="1" applyFill="1" applyBorder="1" applyAlignment="1">
      <alignment horizontal="center" vertical="center" shrinkToFit="1"/>
    </xf>
    <xf numFmtId="0" fontId="23" fillId="0" borderId="1" xfId="0" applyFont="1" applyFill="1" applyBorder="1" applyAlignment="1">
      <alignment horizontal="center" vertical="center"/>
    </xf>
    <xf numFmtId="0" fontId="32" fillId="0" borderId="3" xfId="0" applyNumberFormat="1" applyFont="1" applyFill="1" applyBorder="1" applyAlignment="1">
      <alignment horizontal="center" vertical="center" shrinkToFit="1"/>
    </xf>
    <xf numFmtId="0" fontId="29" fillId="0" borderId="1" xfId="0" applyFont="1" applyFill="1" applyBorder="1" applyAlignment="1">
      <alignment horizontal="center" vertical="center" wrapText="1"/>
    </xf>
    <xf numFmtId="0" fontId="22" fillId="0" borderId="3" xfId="0" applyNumberFormat="1" applyFont="1" applyFill="1" applyBorder="1" applyAlignment="1">
      <alignment horizontal="center" vertical="center" wrapText="1"/>
    </xf>
    <xf numFmtId="0" fontId="24" fillId="0" borderId="3" xfId="0" applyNumberFormat="1" applyFont="1" applyFill="1" applyBorder="1" applyAlignment="1">
      <alignment horizontal="center" vertical="center" wrapText="1" shrinkToFit="1"/>
    </xf>
    <xf numFmtId="49" fontId="24" fillId="0" borderId="3" xfId="0" applyNumberFormat="1" applyFont="1" applyFill="1" applyBorder="1" applyAlignment="1">
      <alignment horizontal="center" vertical="center" wrapText="1"/>
    </xf>
    <xf numFmtId="177" fontId="24" fillId="0" borderId="3" xfId="0" applyNumberFormat="1" applyFont="1" applyFill="1" applyBorder="1" applyAlignment="1">
      <alignment horizontal="center" vertical="center" wrapText="1" shrinkToFit="1"/>
    </xf>
    <xf numFmtId="0" fontId="24" fillId="0" borderId="3" xfId="0" applyFont="1" applyFill="1" applyBorder="1" applyAlignment="1">
      <alignment horizontal="center" vertical="center" wrapText="1"/>
    </xf>
    <xf numFmtId="0" fontId="24" fillId="0" borderId="3" xfId="0" applyFont="1" applyFill="1" applyBorder="1" applyAlignment="1">
      <alignment horizontal="center" vertical="center"/>
    </xf>
    <xf numFmtId="177" fontId="24" fillId="3" borderId="3" xfId="0" applyNumberFormat="1" applyFont="1" applyFill="1" applyBorder="1" applyAlignment="1">
      <alignment horizontal="center" vertical="center" wrapText="1" shrinkToFit="1"/>
    </xf>
    <xf numFmtId="0" fontId="24" fillId="3" borderId="3" xfId="0" applyFont="1" applyFill="1" applyBorder="1" applyAlignment="1">
      <alignment horizontal="center" vertical="center" wrapText="1"/>
    </xf>
    <xf numFmtId="0" fontId="29" fillId="3" borderId="3" xfId="0" applyFont="1" applyFill="1" applyBorder="1" applyAlignment="1">
      <alignment horizontal="center" vertical="center" wrapText="1"/>
    </xf>
    <xf numFmtId="0" fontId="24" fillId="3" borderId="3" xfId="0" applyFont="1" applyFill="1" applyBorder="1" applyAlignment="1">
      <alignment horizontal="center" vertical="center"/>
    </xf>
    <xf numFmtId="49" fontId="3" fillId="0" borderId="1" xfId="0" applyNumberFormat="1" applyFont="1" applyFill="1" applyBorder="1" applyAlignment="1">
      <alignment horizontal="center" vertical="center" wrapText="1" shrinkToFit="1"/>
    </xf>
    <xf numFmtId="176" fontId="19" fillId="2" borderId="3" xfId="0" applyNumberFormat="1" applyFont="1" applyFill="1" applyBorder="1" applyAlignment="1">
      <alignment horizontal="center" vertical="center" shrinkToFit="1"/>
    </xf>
    <xf numFmtId="0" fontId="19" fillId="2" borderId="3" xfId="0" applyNumberFormat="1" applyFont="1" applyFill="1" applyBorder="1" applyAlignment="1">
      <alignment horizontal="center" vertical="center" wrapText="1"/>
    </xf>
    <xf numFmtId="184" fontId="19" fillId="2" borderId="3" xfId="0" applyNumberFormat="1" applyFont="1" applyFill="1" applyBorder="1" applyAlignment="1">
      <alignment horizontal="center" vertical="center" wrapText="1"/>
    </xf>
    <xf numFmtId="0" fontId="33" fillId="2" borderId="3" xfId="0" applyNumberFormat="1" applyFont="1" applyFill="1" applyBorder="1" applyAlignment="1">
      <alignment horizontal="center" vertical="center" shrinkToFit="1"/>
    </xf>
    <xf numFmtId="0" fontId="24" fillId="0" borderId="2" xfId="0" applyNumberFormat="1" applyFont="1" applyFill="1" applyBorder="1" applyAlignment="1">
      <alignment horizontal="center" vertical="center" wrapText="1" shrinkToFit="1"/>
    </xf>
    <xf numFmtId="0" fontId="24" fillId="0" borderId="1" xfId="0" applyNumberFormat="1" applyFont="1" applyFill="1" applyBorder="1" applyAlignment="1">
      <alignment horizontal="center" vertical="center" wrapText="1" shrinkToFit="1"/>
    </xf>
    <xf numFmtId="0" fontId="19" fillId="0" borderId="3" xfId="0" applyFont="1" applyFill="1" applyBorder="1" applyAlignment="1">
      <alignment horizontal="center" vertical="center" wrapText="1"/>
    </xf>
    <xf numFmtId="0" fontId="3" fillId="0" borderId="3" xfId="0" applyFont="1" applyFill="1" applyBorder="1" applyAlignment="1">
      <alignment horizontal="center" vertical="center"/>
    </xf>
    <xf numFmtId="177" fontId="24" fillId="0" borderId="1" xfId="0" applyNumberFormat="1" applyFont="1" applyFill="1" applyBorder="1" applyAlignment="1" applyProtection="1">
      <alignment horizontal="center" vertical="center" wrapText="1" shrinkToFit="1"/>
    </xf>
    <xf numFmtId="0" fontId="24" fillId="0" borderId="1" xfId="0" applyFont="1" applyFill="1" applyBorder="1" applyAlignment="1" applyProtection="1">
      <alignment horizontal="center" vertical="center" wrapText="1"/>
      <protection locked="0"/>
    </xf>
    <xf numFmtId="0" fontId="3" fillId="0" borderId="1" xfId="0" applyFont="1" applyFill="1" applyBorder="1" applyAlignment="1" applyProtection="1">
      <alignment horizontal="center" vertical="center" wrapText="1" shrinkToFit="1"/>
      <protection locked="0"/>
    </xf>
    <xf numFmtId="0" fontId="22" fillId="0" borderId="2" xfId="0" applyNumberFormat="1" applyFont="1" applyFill="1" applyBorder="1" applyAlignment="1" applyProtection="1">
      <alignment horizontal="center" vertical="center" shrinkToFit="1"/>
      <protection locked="0"/>
    </xf>
    <xf numFmtId="0" fontId="24" fillId="0" borderId="1" xfId="0" applyFont="1" applyFill="1" applyBorder="1" applyAlignment="1" applyProtection="1">
      <alignment horizontal="center" vertical="center"/>
      <protection locked="0"/>
    </xf>
    <xf numFmtId="0" fontId="4" fillId="0" borderId="1" xfId="0" applyFont="1" applyFill="1" applyBorder="1" applyAlignment="1" applyProtection="1">
      <alignment horizontal="center" vertical="center" wrapText="1" shrinkToFit="1"/>
      <protection locked="0"/>
    </xf>
    <xf numFmtId="49" fontId="3" fillId="0" borderId="1" xfId="0" applyNumberFormat="1" applyFont="1" applyFill="1" applyBorder="1" applyAlignment="1" applyProtection="1">
      <alignment horizontal="center" vertical="center" wrapText="1" shrinkToFit="1"/>
      <protection locked="0"/>
    </xf>
    <xf numFmtId="176" fontId="4" fillId="0" borderId="1" xfId="0" applyNumberFormat="1" applyFont="1" applyFill="1" applyBorder="1" applyAlignment="1" applyProtection="1">
      <alignment horizontal="center" vertical="center" wrapText="1" shrinkToFit="1"/>
    </xf>
    <xf numFmtId="0" fontId="4" fillId="0" borderId="2" xfId="0" applyFont="1" applyFill="1" applyBorder="1" applyAlignment="1" applyProtection="1">
      <alignment horizontal="center" vertical="center" wrapText="1" shrinkToFit="1"/>
      <protection locked="0"/>
    </xf>
    <xf numFmtId="0" fontId="4" fillId="0" borderId="2" xfId="0" applyFont="1" applyFill="1" applyBorder="1" applyAlignment="1" applyProtection="1">
      <alignment horizontal="center" vertical="center"/>
      <protection locked="0"/>
    </xf>
    <xf numFmtId="0" fontId="4" fillId="0" borderId="1" xfId="0" applyFont="1" applyFill="1" applyBorder="1" applyAlignment="1" applyProtection="1">
      <alignment horizontal="center" vertical="center" wrapText="1"/>
      <protection locked="0"/>
    </xf>
    <xf numFmtId="180" fontId="4" fillId="3" borderId="1" xfId="0" applyNumberFormat="1" applyFont="1" applyFill="1" applyBorder="1" applyAlignment="1">
      <alignment horizontal="center" vertical="center" wrapText="1" shrinkToFit="1"/>
    </xf>
    <xf numFmtId="177" fontId="4" fillId="3" borderId="1" xfId="0" applyNumberFormat="1" applyFont="1" applyFill="1" applyBorder="1" applyAlignment="1">
      <alignment horizontal="center" vertical="center" wrapText="1" shrinkToFit="1"/>
    </xf>
    <xf numFmtId="0" fontId="4" fillId="3" borderId="1" xfId="0" applyNumberFormat="1" applyFont="1" applyFill="1" applyBorder="1" applyAlignment="1">
      <alignment horizontal="center" vertical="center" wrapText="1" shrinkToFit="1"/>
    </xf>
    <xf numFmtId="181" fontId="24" fillId="2" borderId="1" xfId="0" applyNumberFormat="1" applyFont="1" applyFill="1" applyBorder="1" applyAlignment="1">
      <alignment horizontal="center" vertical="center" wrapText="1"/>
    </xf>
    <xf numFmtId="177" fontId="3" fillId="4" borderId="1" xfId="0" applyNumberFormat="1" applyFont="1" applyFill="1" applyBorder="1" applyAlignment="1">
      <alignment horizontal="center" vertical="center" wrapText="1" shrinkToFit="1"/>
    </xf>
    <xf numFmtId="180" fontId="4" fillId="0" borderId="1" xfId="0" applyNumberFormat="1" applyFont="1" applyFill="1" applyBorder="1" applyAlignment="1" applyProtection="1">
      <alignment horizontal="center" vertical="center" wrapText="1" shrinkToFit="1"/>
      <protection locked="0"/>
    </xf>
    <xf numFmtId="177" fontId="4" fillId="0" borderId="1" xfId="0" applyNumberFormat="1" applyFont="1" applyFill="1" applyBorder="1" applyAlignment="1" applyProtection="1">
      <alignment horizontal="center" vertical="center" wrapText="1" shrinkToFit="1"/>
      <protection locked="0"/>
    </xf>
    <xf numFmtId="0" fontId="4" fillId="0" borderId="1" xfId="0" applyNumberFormat="1" applyFont="1" applyFill="1" applyBorder="1" applyAlignment="1" applyProtection="1">
      <alignment horizontal="center" vertical="center" wrapText="1" shrinkToFit="1"/>
      <protection locked="0"/>
    </xf>
    <xf numFmtId="181" fontId="24" fillId="0" borderId="1" xfId="0" applyNumberFormat="1" applyFont="1" applyFill="1" applyBorder="1" applyAlignment="1" applyProtection="1">
      <alignment horizontal="center" vertical="center" wrapText="1"/>
      <protection locked="0"/>
    </xf>
    <xf numFmtId="180" fontId="3" fillId="0" borderId="1" xfId="0" applyNumberFormat="1" applyFont="1" applyFill="1" applyBorder="1" applyAlignment="1" applyProtection="1">
      <alignment horizontal="center" vertical="center" wrapText="1" shrinkToFit="1"/>
      <protection locked="0"/>
    </xf>
    <xf numFmtId="0" fontId="3" fillId="0" borderId="1" xfId="0" applyNumberFormat="1" applyFont="1" applyFill="1" applyBorder="1" applyAlignment="1" applyProtection="1">
      <alignment horizontal="center" vertical="center" wrapText="1" shrinkToFit="1"/>
      <protection locked="0"/>
    </xf>
    <xf numFmtId="181" fontId="34" fillId="0" borderId="3" xfId="0" applyNumberFormat="1" applyFont="1" applyFill="1" applyBorder="1" applyAlignment="1">
      <alignment horizontal="center" vertical="center" wrapText="1"/>
    </xf>
    <xf numFmtId="181" fontId="4" fillId="3" borderId="2" xfId="0" applyNumberFormat="1" applyFont="1" applyFill="1" applyBorder="1" applyAlignment="1">
      <alignment horizontal="center" vertical="center" wrapText="1" shrinkToFit="1"/>
    </xf>
    <xf numFmtId="0" fontId="4" fillId="3" borderId="1" xfId="0" applyFont="1" applyFill="1" applyBorder="1" applyAlignment="1">
      <alignment horizontal="center" vertical="center" wrapText="1"/>
    </xf>
    <xf numFmtId="0" fontId="21" fillId="3" borderId="1" xfId="0" applyNumberFormat="1" applyFont="1" applyFill="1" applyBorder="1" applyAlignment="1">
      <alignment horizontal="center" vertical="center" wrapText="1"/>
    </xf>
    <xf numFmtId="179" fontId="4" fillId="3" borderId="1" xfId="0" applyNumberFormat="1" applyFont="1" applyFill="1" applyBorder="1" applyAlignment="1">
      <alignment horizontal="center" vertical="center" wrapText="1" shrinkToFit="1"/>
    </xf>
    <xf numFmtId="181" fontId="35" fillId="0" borderId="3" xfId="0" applyNumberFormat="1" applyFont="1" applyFill="1" applyBorder="1" applyAlignment="1">
      <alignment horizontal="center" vertical="center" wrapText="1"/>
    </xf>
    <xf numFmtId="177" fontId="4" fillId="0" borderId="3" xfId="0" applyNumberFormat="1" applyFont="1" applyFill="1" applyBorder="1" applyAlignment="1">
      <alignment horizontal="center" vertical="center" wrapText="1" shrinkToFit="1"/>
    </xf>
    <xf numFmtId="177" fontId="4" fillId="3" borderId="3" xfId="0" applyNumberFormat="1" applyFont="1" applyFill="1" applyBorder="1" applyAlignment="1">
      <alignment horizontal="center" vertical="center" wrapText="1" shrinkToFit="1"/>
    </xf>
    <xf numFmtId="183" fontId="3" fillId="0" borderId="1" xfId="0" applyNumberFormat="1" applyFont="1" applyFill="1" applyBorder="1" applyAlignment="1">
      <alignment horizontal="center" vertical="center" wrapText="1" shrinkToFit="1"/>
    </xf>
    <xf numFmtId="177" fontId="4" fillId="2" borderId="5" xfId="0" applyNumberFormat="1" applyFont="1" applyFill="1" applyBorder="1" applyAlignment="1">
      <alignment horizontal="center" vertical="center" wrapText="1" shrinkToFit="1"/>
    </xf>
    <xf numFmtId="186" fontId="4" fillId="2" borderId="1" xfId="0" applyNumberFormat="1" applyFont="1" applyFill="1" applyBorder="1" applyAlignment="1">
      <alignment horizontal="center" vertical="center" wrapText="1"/>
    </xf>
    <xf numFmtId="0" fontId="21" fillId="0" borderId="1" xfId="0" applyNumberFormat="1" applyFont="1" applyFill="1" applyBorder="1" applyAlignment="1">
      <alignment horizontal="center" vertical="center" wrapText="1"/>
    </xf>
    <xf numFmtId="0" fontId="36" fillId="0" borderId="1" xfId="0" applyFont="1" applyFill="1" applyBorder="1" applyAlignment="1">
      <alignment horizontal="center" vertical="center" wrapText="1"/>
    </xf>
    <xf numFmtId="181" fontId="3" fillId="0" borderId="2" xfId="0" applyNumberFormat="1" applyFont="1" applyFill="1" applyBorder="1" applyAlignment="1">
      <alignment horizontal="center" vertical="center" wrapText="1" shrinkToFit="1"/>
    </xf>
    <xf numFmtId="181" fontId="4" fillId="0" borderId="1" xfId="0" applyNumberFormat="1" applyFont="1" applyFill="1" applyBorder="1" applyAlignment="1" applyProtection="1">
      <alignment horizontal="center" vertical="center" wrapText="1" shrinkToFit="1"/>
      <protection locked="0"/>
    </xf>
    <xf numFmtId="186" fontId="4" fillId="0" borderId="1" xfId="0" applyNumberFormat="1" applyFont="1" applyFill="1" applyBorder="1" applyAlignment="1" applyProtection="1">
      <alignment horizontal="center" vertical="center" wrapText="1"/>
      <protection locked="0"/>
    </xf>
    <xf numFmtId="179" fontId="4" fillId="0" borderId="1" xfId="0" applyNumberFormat="1" applyFont="1" applyFill="1" applyBorder="1" applyAlignment="1" applyProtection="1">
      <alignment horizontal="center" vertical="center" wrapText="1" shrinkToFit="1"/>
      <protection locked="0"/>
    </xf>
    <xf numFmtId="181" fontId="4" fillId="0" borderId="2" xfId="0" applyNumberFormat="1" applyFont="1" applyFill="1" applyBorder="1" applyAlignment="1" applyProtection="1">
      <alignment horizontal="center" vertical="center" wrapText="1" shrinkToFit="1"/>
      <protection locked="0"/>
    </xf>
    <xf numFmtId="177" fontId="3" fillId="0" borderId="1" xfId="0" applyNumberFormat="1" applyFont="1" applyFill="1" applyBorder="1" applyAlignment="1" applyProtection="1">
      <alignment horizontal="center" vertical="center" wrapText="1" shrinkToFit="1"/>
      <protection locked="0"/>
    </xf>
    <xf numFmtId="183" fontId="3" fillId="0" borderId="1" xfId="0" applyNumberFormat="1" applyFont="1" applyFill="1" applyBorder="1" applyAlignment="1" applyProtection="1">
      <alignment horizontal="center" vertical="center" wrapText="1" shrinkToFit="1"/>
      <protection locked="0"/>
    </xf>
    <xf numFmtId="179" fontId="3" fillId="0" borderId="1" xfId="0" applyNumberFormat="1" applyFont="1" applyFill="1" applyBorder="1" applyAlignment="1" applyProtection="1">
      <alignment horizontal="center" vertical="center" wrapText="1" shrinkToFit="1"/>
      <protection locked="0"/>
    </xf>
    <xf numFmtId="0" fontId="4" fillId="3" borderId="3" xfId="0" applyFont="1" applyFill="1" applyBorder="1" applyAlignment="1">
      <alignment horizontal="center" vertical="center" wrapText="1" shrinkToFit="1"/>
    </xf>
    <xf numFmtId="0" fontId="4" fillId="3" borderId="2" xfId="0" applyFont="1" applyFill="1" applyBorder="1" applyAlignment="1">
      <alignment vertical="center" wrapText="1" shrinkToFit="1"/>
    </xf>
    <xf numFmtId="0" fontId="4" fillId="3" borderId="2" xfId="0" applyFont="1" applyFill="1" applyBorder="1" applyAlignment="1">
      <alignment horizontal="center" vertical="center" wrapText="1" shrinkToFit="1"/>
    </xf>
    <xf numFmtId="0" fontId="4" fillId="3" borderId="1" xfId="0" applyFont="1" applyFill="1" applyBorder="1" applyAlignment="1">
      <alignment horizontal="left" vertical="center" wrapText="1" shrinkToFit="1"/>
    </xf>
    <xf numFmtId="181" fontId="4" fillId="0" borderId="3" xfId="0" applyNumberFormat="1" applyFont="1" applyFill="1" applyBorder="1" applyAlignment="1">
      <alignment horizontal="center" vertical="center" wrapText="1" shrinkToFit="1"/>
    </xf>
    <xf numFmtId="0" fontId="4" fillId="0" borderId="3" xfId="0" applyFont="1" applyFill="1" applyBorder="1" applyAlignment="1" applyProtection="1">
      <alignment horizontal="center" vertical="center" wrapText="1" shrinkToFit="1"/>
      <protection locked="0"/>
    </xf>
    <xf numFmtId="0" fontId="4" fillId="0" borderId="3" xfId="0" applyNumberFormat="1" applyFont="1" applyFill="1" applyBorder="1" applyAlignment="1" applyProtection="1">
      <alignment horizontal="center" vertical="center" wrapText="1" shrinkToFit="1"/>
      <protection locked="0"/>
    </xf>
    <xf numFmtId="0" fontId="4" fillId="0" borderId="1" xfId="0" applyFont="1" applyFill="1" applyBorder="1" applyAlignment="1" applyProtection="1">
      <alignment vertical="center" wrapText="1" shrinkToFit="1"/>
      <protection locked="0"/>
    </xf>
    <xf numFmtId="0" fontId="4" fillId="0" borderId="3" xfId="0" applyFont="1" applyFill="1" applyBorder="1" applyAlignment="1" applyProtection="1">
      <alignment vertical="center" wrapText="1" shrinkToFit="1"/>
      <protection locked="0"/>
    </xf>
    <xf numFmtId="0" fontId="3" fillId="0" borderId="1" xfId="0" applyFont="1" applyFill="1" applyBorder="1" applyAlignment="1" applyProtection="1">
      <alignment horizontal="center" vertical="center"/>
      <protection locked="0"/>
    </xf>
    <xf numFmtId="0" fontId="4" fillId="0" borderId="4" xfId="0" applyFont="1" applyFill="1" applyBorder="1" applyAlignment="1" applyProtection="1">
      <alignment horizontal="center" vertical="center" wrapText="1" shrinkToFit="1"/>
      <protection locked="0"/>
    </xf>
    <xf numFmtId="0" fontId="5" fillId="0" borderId="1" xfId="0" applyFont="1" applyFill="1" applyBorder="1" applyAlignment="1" applyProtection="1">
      <alignment horizontal="center" vertical="center" wrapText="1" shrinkToFit="1"/>
      <protection locked="0"/>
    </xf>
    <xf numFmtId="180" fontId="4" fillId="0" borderId="1" xfId="0" applyNumberFormat="1" applyFont="1" applyFill="1" applyBorder="1" applyAlignment="1" applyProtection="1">
      <alignment horizontal="center" vertical="center"/>
      <protection locked="0"/>
    </xf>
    <xf numFmtId="187" fontId="4" fillId="3" borderId="1" xfId="0" applyNumberFormat="1" applyFont="1" applyFill="1" applyBorder="1" applyAlignment="1">
      <alignment horizontal="center" vertical="center"/>
    </xf>
    <xf numFmtId="187" fontId="4" fillId="0" borderId="1" xfId="0" applyNumberFormat="1" applyFont="1" applyFill="1" applyBorder="1" applyAlignment="1" applyProtection="1">
      <alignment horizontal="center" vertical="center"/>
      <protection locked="0"/>
    </xf>
    <xf numFmtId="187" fontId="4" fillId="2" borderId="1" xfId="0" applyNumberFormat="1" applyFont="1" applyFill="1" applyBorder="1" applyAlignment="1">
      <alignment horizontal="center" vertical="center"/>
    </xf>
    <xf numFmtId="187" fontId="37" fillId="2" borderId="1" xfId="0" applyNumberFormat="1" applyFont="1" applyFill="1" applyBorder="1" applyAlignment="1">
      <alignment horizontal="center" vertical="center"/>
    </xf>
    <xf numFmtId="187" fontId="5" fillId="0" borderId="1" xfId="0" applyNumberFormat="1" applyFont="1" applyFill="1" applyBorder="1" applyAlignment="1" applyProtection="1">
      <alignment horizontal="center" vertical="center"/>
      <protection locked="0"/>
    </xf>
    <xf numFmtId="0" fontId="37" fillId="2" borderId="1" xfId="0" applyFont="1" applyFill="1" applyBorder="1" applyAlignment="1">
      <alignment horizontal="center" vertical="center"/>
    </xf>
    <xf numFmtId="187" fontId="4" fillId="0" borderId="2" xfId="0" applyNumberFormat="1" applyFont="1" applyFill="1" applyBorder="1" applyAlignment="1" applyProtection="1">
      <alignment horizontal="center" vertical="center"/>
      <protection locked="0"/>
    </xf>
    <xf numFmtId="187" fontId="3" fillId="0" borderId="1" xfId="0" applyNumberFormat="1" applyFont="1" applyFill="1" applyBorder="1" applyAlignment="1">
      <alignment horizontal="center" vertical="center"/>
    </xf>
    <xf numFmtId="0" fontId="38" fillId="0" borderId="0" xfId="57" applyFont="1" applyFill="1" applyAlignment="1">
      <alignment horizontal="left" wrapText="1"/>
    </xf>
    <xf numFmtId="0" fontId="39" fillId="0" borderId="0" xfId="57" applyFont="1" applyFill="1" applyAlignment="1">
      <alignment horizontal="left" vertical="top" wrapText="1"/>
    </xf>
    <xf numFmtId="0" fontId="38" fillId="0" borderId="0" xfId="57" applyFont="1" applyFill="1" applyAlignment="1">
      <alignment horizontal="left" vertical="center" wrapText="1"/>
    </xf>
    <xf numFmtId="188" fontId="38" fillId="0" borderId="0" xfId="1" applyNumberFormat="1" applyFont="1" applyAlignment="1">
      <alignment horizontal="left" vertical="center" wrapText="1"/>
    </xf>
    <xf numFmtId="189" fontId="38" fillId="0" borderId="0" xfId="1" applyNumberFormat="1" applyFont="1" applyAlignment="1">
      <alignment horizontal="left" vertical="center" wrapText="1"/>
    </xf>
    <xf numFmtId="190" fontId="38" fillId="0" borderId="0" xfId="57" applyNumberFormat="1" applyFont="1" applyFill="1" applyAlignment="1">
      <alignment horizontal="left" vertical="center" wrapText="1"/>
    </xf>
    <xf numFmtId="0" fontId="40" fillId="5" borderId="1" xfId="54" applyFont="1" applyFill="1" applyBorder="1" applyAlignment="1">
      <alignment horizontal="left" vertical="center" wrapText="1"/>
    </xf>
    <xf numFmtId="191" fontId="40" fillId="5" borderId="1" xfId="1" applyNumberFormat="1" applyFont="1" applyFill="1" applyBorder="1" applyAlignment="1">
      <alignment horizontal="left" vertical="center" wrapText="1"/>
    </xf>
    <xf numFmtId="191" fontId="41" fillId="5" borderId="1" xfId="1" applyNumberFormat="1" applyFont="1" applyFill="1" applyBorder="1" applyAlignment="1">
      <alignment horizontal="left" vertical="center" wrapText="1"/>
    </xf>
    <xf numFmtId="191" fontId="42" fillId="5" borderId="2" xfId="1" applyNumberFormat="1" applyFont="1" applyFill="1" applyBorder="1" applyAlignment="1">
      <alignment horizontal="left" vertical="center" wrapText="1"/>
    </xf>
    <xf numFmtId="191" fontId="41" fillId="5" borderId="2" xfId="1" applyNumberFormat="1" applyFont="1" applyFill="1" applyBorder="1" applyAlignment="1">
      <alignment horizontal="left" vertical="center" wrapText="1"/>
    </xf>
    <xf numFmtId="0" fontId="43" fillId="5" borderId="1" xfId="54" applyFont="1" applyFill="1" applyBorder="1" applyAlignment="1">
      <alignment horizontal="left" vertical="center" wrapText="1"/>
    </xf>
    <xf numFmtId="0" fontId="44" fillId="5" borderId="2" xfId="54" applyFont="1" applyFill="1" applyBorder="1" applyAlignment="1">
      <alignment horizontal="left" vertical="top" wrapText="1"/>
    </xf>
    <xf numFmtId="0" fontId="40" fillId="5" borderId="2" xfId="54" applyFont="1" applyFill="1" applyBorder="1" applyAlignment="1">
      <alignment horizontal="left" vertical="top" wrapText="1"/>
    </xf>
    <xf numFmtId="0" fontId="40" fillId="5" borderId="2" xfId="54" applyFont="1" applyFill="1" applyBorder="1" applyAlignment="1">
      <alignment horizontal="left" vertical="top" wrapText="1" shrinkToFit="1"/>
    </xf>
    <xf numFmtId="0" fontId="38" fillId="0" borderId="6" xfId="57" applyFont="1" applyFill="1" applyBorder="1" applyAlignment="1">
      <alignment horizontal="left" wrapText="1"/>
    </xf>
    <xf numFmtId="0" fontId="45" fillId="0" borderId="7" xfId="57" applyFont="1" applyFill="1" applyBorder="1" applyAlignment="1">
      <alignment horizontal="left" vertical="center" wrapText="1"/>
    </xf>
    <xf numFmtId="192" fontId="46" fillId="0" borderId="7" xfId="53" applyNumberFormat="1" applyFont="1" applyFill="1" applyBorder="1" applyAlignment="1">
      <alignment horizontal="left" vertical="center" wrapText="1"/>
    </xf>
    <xf numFmtId="0" fontId="47" fillId="0" borderId="7" xfId="55" applyFont="1" applyFill="1" applyBorder="1" applyAlignment="1">
      <alignment horizontal="left" vertical="center" wrapText="1"/>
    </xf>
    <xf numFmtId="0" fontId="47" fillId="0" borderId="7" xfId="52" applyFont="1" applyFill="1" applyBorder="1" applyAlignment="1">
      <alignment horizontal="left" vertical="center" wrapText="1"/>
    </xf>
    <xf numFmtId="188" fontId="38" fillId="0" borderId="7" xfId="1" applyNumberFormat="1" applyFont="1" applyFill="1" applyBorder="1" applyAlignment="1">
      <alignment horizontal="left" vertical="center" wrapText="1"/>
    </xf>
    <xf numFmtId="192" fontId="38" fillId="0" borderId="7" xfId="57" applyNumberFormat="1" applyFont="1" applyFill="1" applyBorder="1" applyAlignment="1">
      <alignment horizontal="right" vertical="center" wrapText="1"/>
    </xf>
    <xf numFmtId="188" fontId="38" fillId="0" borderId="7" xfId="1" applyNumberFormat="1" applyFont="1" applyFill="1" applyBorder="1" applyAlignment="1">
      <alignment horizontal="right" vertical="center" wrapText="1" shrinkToFit="1"/>
    </xf>
    <xf numFmtId="0" fontId="38" fillId="0" borderId="8" xfId="57" applyFont="1" applyFill="1" applyBorder="1" applyAlignment="1">
      <alignment horizontal="left" wrapText="1"/>
    </xf>
    <xf numFmtId="0" fontId="48" fillId="0" borderId="4" xfId="57" applyFont="1" applyFill="1" applyBorder="1" applyAlignment="1">
      <alignment horizontal="left" vertical="center" wrapText="1"/>
    </xf>
    <xf numFmtId="192" fontId="46" fillId="0" borderId="4" xfId="53" applyNumberFormat="1" applyFont="1" applyFill="1" applyBorder="1" applyAlignment="1">
      <alignment horizontal="left" vertical="center" wrapText="1"/>
    </xf>
    <xf numFmtId="0" fontId="47" fillId="4" borderId="4" xfId="55" applyFont="1" applyFill="1" applyBorder="1" applyAlignment="1">
      <alignment horizontal="left" vertical="center" wrapText="1"/>
    </xf>
    <xf numFmtId="0" fontId="47" fillId="0" borderId="4" xfId="52" applyFont="1" applyFill="1" applyBorder="1" applyAlignment="1">
      <alignment horizontal="left" vertical="center" wrapText="1"/>
    </xf>
    <xf numFmtId="188" fontId="38" fillId="0" borderId="4" xfId="1" applyNumberFormat="1" applyFont="1" applyFill="1" applyBorder="1" applyAlignment="1">
      <alignment horizontal="left" vertical="center" wrapText="1"/>
    </xf>
    <xf numFmtId="192" fontId="38" fillId="0" borderId="4" xfId="57" applyNumberFormat="1" applyFont="1" applyFill="1" applyBorder="1" applyAlignment="1">
      <alignment horizontal="right" vertical="center" wrapText="1"/>
    </xf>
    <xf numFmtId="188" fontId="38" fillId="0" borderId="4" xfId="1" applyNumberFormat="1" applyFont="1" applyFill="1" applyBorder="1" applyAlignment="1">
      <alignment horizontal="right" vertical="center" wrapText="1" shrinkToFit="1"/>
    </xf>
    <xf numFmtId="0" fontId="47" fillId="0" borderId="4" xfId="55" applyFont="1" applyFill="1" applyBorder="1" applyAlignment="1">
      <alignment horizontal="left" vertical="center" wrapText="1"/>
    </xf>
    <xf numFmtId="188" fontId="49" fillId="0" borderId="4" xfId="1" applyNumberFormat="1" applyFont="1" applyFill="1" applyBorder="1" applyAlignment="1">
      <alignment horizontal="left" vertical="center" wrapText="1"/>
    </xf>
    <xf numFmtId="0" fontId="38" fillId="0" borderId="9" xfId="57" applyFont="1" applyFill="1" applyBorder="1" applyAlignment="1">
      <alignment horizontal="left" wrapText="1"/>
    </xf>
    <xf numFmtId="0" fontId="48" fillId="0" borderId="10" xfId="57" applyFont="1" applyFill="1" applyBorder="1" applyAlignment="1">
      <alignment horizontal="left" vertical="center" wrapText="1"/>
    </xf>
    <xf numFmtId="192" fontId="46" fillId="0" borderId="10" xfId="53" applyNumberFormat="1" applyFont="1" applyFill="1" applyBorder="1" applyAlignment="1">
      <alignment horizontal="left" vertical="center" wrapText="1"/>
    </xf>
    <xf numFmtId="0" fontId="47" fillId="0" borderId="10" xfId="55" applyFont="1" applyFill="1" applyBorder="1" applyAlignment="1">
      <alignment horizontal="left" vertical="center" wrapText="1"/>
    </xf>
    <xf numFmtId="0" fontId="47" fillId="0" borderId="10" xfId="52" applyFont="1" applyFill="1" applyBorder="1" applyAlignment="1">
      <alignment horizontal="left" vertical="center" wrapText="1"/>
    </xf>
    <xf numFmtId="188" fontId="38" fillId="0" borderId="10" xfId="1" applyNumberFormat="1" applyFont="1" applyFill="1" applyBorder="1" applyAlignment="1">
      <alignment horizontal="left" vertical="center" wrapText="1"/>
    </xf>
    <xf numFmtId="193" fontId="38" fillId="0" borderId="10" xfId="57" applyNumberFormat="1" applyFont="1" applyFill="1" applyBorder="1" applyAlignment="1">
      <alignment horizontal="right" vertical="center" wrapText="1"/>
    </xf>
    <xf numFmtId="188" fontId="38" fillId="0" borderId="10" xfId="1" applyNumberFormat="1" applyFont="1" applyFill="1" applyBorder="1" applyAlignment="1">
      <alignment horizontal="right" vertical="center" wrapText="1"/>
    </xf>
    <xf numFmtId="0" fontId="45" fillId="0" borderId="4" xfId="57" applyFont="1" applyFill="1" applyBorder="1" applyAlignment="1">
      <alignment horizontal="left" vertical="center" wrapText="1"/>
    </xf>
    <xf numFmtId="0" fontId="38" fillId="0" borderId="10" xfId="57" applyFont="1" applyFill="1" applyBorder="1" applyAlignment="1">
      <alignment horizontal="left" vertical="center" wrapText="1"/>
    </xf>
    <xf numFmtId="188" fontId="50" fillId="0" borderId="10" xfId="1" applyNumberFormat="1" applyFont="1" applyFill="1" applyBorder="1" applyAlignment="1">
      <alignment horizontal="left" vertical="center" wrapText="1"/>
    </xf>
    <xf numFmtId="0" fontId="38" fillId="0" borderId="4" xfId="57" applyFont="1" applyFill="1" applyBorder="1" applyAlignment="1">
      <alignment horizontal="left" vertical="center" wrapText="1"/>
    </xf>
    <xf numFmtId="0" fontId="47" fillId="4" borderId="7" xfId="55" applyFont="1" applyFill="1" applyBorder="1" applyAlignment="1">
      <alignment horizontal="left" vertical="center" wrapText="1"/>
    </xf>
    <xf numFmtId="194" fontId="38" fillId="0" borderId="7" xfId="57" applyNumberFormat="1" applyFont="1" applyFill="1" applyBorder="1" applyAlignment="1">
      <alignment horizontal="right" vertical="center" wrapText="1"/>
    </xf>
    <xf numFmtId="194" fontId="38" fillId="0" borderId="4" xfId="57" applyNumberFormat="1" applyFont="1" applyFill="1" applyBorder="1" applyAlignment="1">
      <alignment horizontal="right" vertical="center" wrapText="1"/>
    </xf>
    <xf numFmtId="0" fontId="45" fillId="0" borderId="10" xfId="57" applyFont="1" applyFill="1" applyBorder="1" applyAlignment="1">
      <alignment horizontal="left" vertical="center" wrapText="1"/>
    </xf>
    <xf numFmtId="0" fontId="38" fillId="0" borderId="11" xfId="57" applyFont="1" applyFill="1" applyBorder="1" applyAlignment="1">
      <alignment horizontal="left" vertical="center" wrapText="1"/>
    </xf>
    <xf numFmtId="0" fontId="45" fillId="0" borderId="12" xfId="57" applyFont="1" applyFill="1" applyBorder="1" applyAlignment="1">
      <alignment horizontal="left" vertical="center" wrapText="1"/>
    </xf>
    <xf numFmtId="192" fontId="46" fillId="0" borderId="12" xfId="53" applyNumberFormat="1" applyFont="1" applyFill="1" applyBorder="1" applyAlignment="1">
      <alignment horizontal="left" vertical="center" wrapText="1"/>
    </xf>
    <xf numFmtId="0" fontId="47" fillId="0" borderId="12" xfId="52" applyFont="1" applyFill="1" applyBorder="1" applyAlignment="1">
      <alignment horizontal="left" vertical="center" wrapText="1"/>
    </xf>
    <xf numFmtId="0" fontId="38" fillId="0" borderId="12" xfId="57" applyFont="1" applyFill="1" applyBorder="1" applyAlignment="1">
      <alignment horizontal="left" vertical="center" wrapText="1"/>
    </xf>
    <xf numFmtId="192" fontId="38" fillId="0" borderId="12" xfId="57" applyNumberFormat="1" applyFont="1" applyFill="1" applyBorder="1" applyAlignment="1">
      <alignment horizontal="left" vertical="center" wrapText="1"/>
    </xf>
    <xf numFmtId="180" fontId="38" fillId="0" borderId="12" xfId="54" applyNumberFormat="1" applyFont="1" applyFill="1" applyBorder="1" applyAlignment="1">
      <alignment horizontal="left" vertical="center" wrapText="1" shrinkToFit="1"/>
    </xf>
    <xf numFmtId="0" fontId="51" fillId="0" borderId="7" xfId="57" applyFont="1" applyFill="1" applyBorder="1" applyAlignment="1">
      <alignment horizontal="left" vertical="center" wrapText="1"/>
    </xf>
    <xf numFmtId="178" fontId="52" fillId="0" borderId="7" xfId="56" applyNumberFormat="1" applyFont="1" applyFill="1" applyBorder="1" applyAlignment="1">
      <alignment horizontal="right" vertical="center" wrapText="1"/>
    </xf>
    <xf numFmtId="188" fontId="38" fillId="0" borderId="10" xfId="1" applyNumberFormat="1" applyFont="1" applyFill="1" applyBorder="1" applyAlignment="1">
      <alignment horizontal="right" vertical="center" wrapText="1" shrinkToFit="1"/>
    </xf>
    <xf numFmtId="192" fontId="52" fillId="0" borderId="4" xfId="56" applyNumberFormat="1" applyFont="1" applyFill="1" applyBorder="1" applyAlignment="1">
      <alignment horizontal="right" vertical="center" wrapText="1"/>
    </xf>
    <xf numFmtId="0" fontId="49" fillId="0" borderId="10" xfId="55" applyFont="1" applyFill="1" applyBorder="1" applyAlignment="1">
      <alignment horizontal="left" vertical="center" wrapText="1"/>
    </xf>
    <xf numFmtId="0" fontId="47" fillId="2" borderId="7" xfId="55" applyFont="1" applyFill="1" applyBorder="1" applyAlignment="1">
      <alignment horizontal="left" vertical="center" wrapText="1"/>
    </xf>
    <xf numFmtId="188" fontId="49" fillId="0" borderId="10" xfId="1" applyNumberFormat="1" applyFont="1" applyFill="1" applyBorder="1" applyAlignment="1">
      <alignment horizontal="left" vertical="center" wrapText="1"/>
    </xf>
    <xf numFmtId="191" fontId="41" fillId="5" borderId="1" xfId="1" applyNumberFormat="1" applyFont="1" applyFill="1" applyBorder="1" applyAlignment="1">
      <alignment horizontal="right" vertical="center" wrapText="1"/>
    </xf>
    <xf numFmtId="195" fontId="41" fillId="5" borderId="1" xfId="1" applyNumberFormat="1" applyFont="1" applyFill="1" applyBorder="1" applyAlignment="1">
      <alignment horizontal="right" vertical="center" wrapText="1"/>
    </xf>
    <xf numFmtId="191" fontId="41" fillId="5" borderId="2" xfId="1" applyNumberFormat="1" applyFont="1" applyFill="1" applyBorder="1" applyAlignment="1">
      <alignment horizontal="right" vertical="center" wrapText="1"/>
    </xf>
    <xf numFmtId="195" fontId="41" fillId="5" borderId="2" xfId="1" applyNumberFormat="1" applyFont="1" applyFill="1" applyBorder="1" applyAlignment="1">
      <alignment horizontal="right" vertical="center" wrapText="1"/>
    </xf>
    <xf numFmtId="196" fontId="40" fillId="5" borderId="1" xfId="54" applyNumberFormat="1" applyFont="1" applyFill="1" applyBorder="1" applyAlignment="1">
      <alignment horizontal="left" vertical="center" wrapText="1"/>
    </xf>
    <xf numFmtId="0" fontId="40" fillId="5" borderId="1" xfId="54" applyFont="1" applyFill="1" applyBorder="1" applyAlignment="1">
      <alignment horizontal="right" vertical="center"/>
    </xf>
    <xf numFmtId="188" fontId="40" fillId="5" borderId="1" xfId="1" applyNumberFormat="1" applyFont="1" applyFill="1" applyBorder="1" applyAlignment="1">
      <alignment horizontal="left" vertical="center"/>
    </xf>
    <xf numFmtId="0" fontId="40" fillId="5" borderId="1" xfId="54" applyFont="1" applyFill="1" applyBorder="1" applyAlignment="1">
      <alignment horizontal="left" vertical="center"/>
    </xf>
    <xf numFmtId="190" fontId="41" fillId="5" borderId="1" xfId="57" applyNumberFormat="1" applyFont="1" applyFill="1" applyBorder="1" applyAlignment="1">
      <alignment horizontal="left" vertical="center" wrapText="1"/>
    </xf>
    <xf numFmtId="196" fontId="40" fillId="5" borderId="2" xfId="54" applyNumberFormat="1" applyFont="1" applyFill="1" applyBorder="1" applyAlignment="1">
      <alignment horizontal="left" vertical="top" wrapText="1" shrinkToFit="1"/>
    </xf>
    <xf numFmtId="188" fontId="40" fillId="5" borderId="2" xfId="1" applyNumberFormat="1" applyFont="1" applyFill="1" applyBorder="1" applyAlignment="1">
      <alignment horizontal="left" vertical="top" wrapText="1"/>
    </xf>
    <xf numFmtId="197" fontId="38" fillId="0" borderId="7" xfId="54" applyNumberFormat="1" applyFont="1" applyFill="1" applyBorder="1" applyAlignment="1">
      <alignment horizontal="right" vertical="center" wrapText="1" shrinkToFit="1"/>
    </xf>
    <xf numFmtId="0" fontId="48" fillId="0" borderId="7" xfId="57" applyFont="1" applyFill="1" applyBorder="1" applyAlignment="1">
      <alignment horizontal="center" vertical="center" wrapText="1"/>
    </xf>
    <xf numFmtId="198" fontId="38" fillId="0" borderId="7" xfId="57" applyNumberFormat="1" applyFont="1" applyFill="1" applyBorder="1" applyAlignment="1">
      <alignment horizontal="right" vertical="center" wrapText="1"/>
    </xf>
    <xf numFmtId="0" fontId="38" fillId="0" borderId="7" xfId="57" applyFont="1" applyFill="1" applyBorder="1" applyAlignment="1">
      <alignment horizontal="left" vertical="center" wrapText="1"/>
    </xf>
    <xf numFmtId="188" fontId="38" fillId="0" borderId="7" xfId="1" applyNumberFormat="1" applyFont="1" applyBorder="1" applyAlignment="1">
      <alignment horizontal="left" vertical="center" wrapText="1"/>
    </xf>
    <xf numFmtId="188" fontId="38" fillId="6" borderId="7" xfId="1" applyNumberFormat="1" applyFont="1" applyFill="1" applyBorder="1" applyAlignment="1">
      <alignment horizontal="left" vertical="center" wrapText="1"/>
    </xf>
    <xf numFmtId="197" fontId="38" fillId="0" borderId="4" xfId="54" applyNumberFormat="1" applyFont="1" applyFill="1" applyBorder="1" applyAlignment="1">
      <alignment horizontal="right" vertical="center" wrapText="1" shrinkToFit="1"/>
    </xf>
    <xf numFmtId="0" fontId="48" fillId="0" borderId="4" xfId="57" applyFont="1" applyFill="1" applyBorder="1" applyAlignment="1">
      <alignment horizontal="center" vertical="center" wrapText="1"/>
    </xf>
    <xf numFmtId="198" fontId="38" fillId="0" borderId="4" xfId="57" applyNumberFormat="1" applyFont="1" applyFill="1" applyBorder="1" applyAlignment="1">
      <alignment horizontal="right" vertical="center" wrapText="1"/>
    </xf>
    <xf numFmtId="188" fontId="38" fillId="0" borderId="4" xfId="1" applyNumberFormat="1" applyFont="1" applyBorder="1" applyAlignment="1">
      <alignment horizontal="left" vertical="center" wrapText="1"/>
    </xf>
    <xf numFmtId="188" fontId="38" fillId="6" borderId="4" xfId="1" applyNumberFormat="1" applyFont="1" applyFill="1" applyBorder="1" applyAlignment="1">
      <alignment horizontal="left" vertical="center" wrapText="1"/>
    </xf>
    <xf numFmtId="197" fontId="38" fillId="0" borderId="10" xfId="54" applyNumberFormat="1" applyFont="1" applyFill="1" applyBorder="1" applyAlignment="1">
      <alignment horizontal="right" vertical="center" wrapText="1" shrinkToFit="1"/>
    </xf>
    <xf numFmtId="0" fontId="48" fillId="0" borderId="10" xfId="57" applyFont="1" applyFill="1" applyBorder="1" applyAlignment="1">
      <alignment horizontal="center" vertical="center" wrapText="1"/>
    </xf>
    <xf numFmtId="198" fontId="38" fillId="0" borderId="10" xfId="57" applyNumberFormat="1" applyFont="1" applyFill="1" applyBorder="1" applyAlignment="1">
      <alignment horizontal="right" vertical="center" wrapText="1"/>
    </xf>
    <xf numFmtId="188" fontId="38" fillId="0" borderId="10" xfId="1" applyNumberFormat="1" applyFont="1" applyBorder="1" applyAlignment="1">
      <alignment horizontal="left" vertical="center" wrapText="1"/>
    </xf>
    <xf numFmtId="188" fontId="38" fillId="6" borderId="10" xfId="1" applyNumberFormat="1" applyFont="1" applyFill="1" applyBorder="1" applyAlignment="1">
      <alignment horizontal="left" vertical="center" wrapText="1"/>
    </xf>
    <xf numFmtId="0" fontId="53" fillId="0" borderId="7" xfId="57" applyFont="1" applyFill="1" applyBorder="1" applyAlignment="1">
      <alignment horizontal="left" vertical="center" wrapText="1"/>
    </xf>
    <xf numFmtId="197" fontId="38" fillId="0" borderId="12" xfId="54" applyNumberFormat="1" applyFont="1" applyFill="1" applyBorder="1" applyAlignment="1">
      <alignment horizontal="right" vertical="center" wrapText="1" shrinkToFit="1"/>
    </xf>
    <xf numFmtId="0" fontId="48" fillId="0" borderId="12" xfId="57" applyFont="1" applyFill="1" applyBorder="1" applyAlignment="1">
      <alignment horizontal="center" vertical="center" wrapText="1"/>
    </xf>
    <xf numFmtId="198" fontId="38" fillId="0" borderId="12" xfId="57" applyNumberFormat="1" applyFont="1" applyFill="1" applyBorder="1" applyAlignment="1">
      <alignment horizontal="right" vertical="center" wrapText="1"/>
    </xf>
    <xf numFmtId="188" fontId="38" fillId="0" borderId="12" xfId="1" applyNumberFormat="1" applyFont="1" applyBorder="1" applyAlignment="1">
      <alignment horizontal="left" vertical="center" wrapText="1"/>
    </xf>
    <xf numFmtId="188" fontId="38" fillId="6" borderId="12" xfId="1" applyNumberFormat="1" applyFont="1" applyFill="1" applyBorder="1" applyAlignment="1">
      <alignment horizontal="left" vertical="center" wrapText="1"/>
    </xf>
    <xf numFmtId="0" fontId="54" fillId="0" borderId="4" xfId="57" applyFont="1" applyFill="1" applyBorder="1" applyAlignment="1">
      <alignment horizontal="left" vertical="center" wrapText="1"/>
    </xf>
    <xf numFmtId="2" fontId="49" fillId="0" borderId="10" xfId="51" applyNumberFormat="1" applyFont="1" applyFill="1" applyBorder="1" applyAlignment="1">
      <alignment horizontal="left" vertical="center" wrapText="1"/>
    </xf>
    <xf numFmtId="2" fontId="49" fillId="0" borderId="7" xfId="51" applyNumberFormat="1" applyFont="1" applyFill="1" applyBorder="1" applyAlignment="1">
      <alignment horizontal="left" vertical="center" wrapText="1"/>
    </xf>
    <xf numFmtId="190" fontId="55" fillId="5" borderId="1" xfId="57" applyNumberFormat="1" applyFont="1" applyFill="1" applyBorder="1" applyAlignment="1">
      <alignment horizontal="left" vertical="center" wrapText="1"/>
    </xf>
    <xf numFmtId="188" fontId="56" fillId="5" borderId="2" xfId="1" applyNumberFormat="1" applyFont="1" applyFill="1" applyBorder="1" applyAlignment="1">
      <alignment vertical="top" wrapText="1"/>
    </xf>
    <xf numFmtId="188" fontId="44" fillId="5" borderId="2" xfId="1" applyNumberFormat="1" applyFont="1" applyFill="1" applyBorder="1" applyAlignment="1">
      <alignment horizontal="left" vertical="top" wrapText="1"/>
    </xf>
    <xf numFmtId="188" fontId="41" fillId="5" borderId="2" xfId="1" applyNumberFormat="1" applyFont="1" applyFill="1" applyBorder="1" applyAlignment="1">
      <alignment horizontal="left" vertical="top" wrapText="1"/>
    </xf>
    <xf numFmtId="189" fontId="38" fillId="0" borderId="4" xfId="1" applyNumberFormat="1" applyFont="1" applyBorder="1" applyAlignment="1">
      <alignment horizontal="right" vertical="center" wrapText="1"/>
    </xf>
    <xf numFmtId="9" fontId="38" fillId="0" borderId="7" xfId="49" applyFont="1" applyBorder="1" applyAlignment="1">
      <alignment horizontal="right" vertical="center" wrapText="1"/>
    </xf>
    <xf numFmtId="188" fontId="38" fillId="4" borderId="7" xfId="57" applyNumberFormat="1" applyFont="1" applyFill="1" applyBorder="1" applyAlignment="1">
      <alignment horizontal="left" vertical="center" wrapText="1"/>
    </xf>
    <xf numFmtId="198" fontId="38" fillId="7" borderId="7" xfId="57" applyNumberFormat="1" applyFont="1" applyFill="1" applyBorder="1" applyAlignment="1">
      <alignment horizontal="right" vertical="center" wrapText="1"/>
    </xf>
    <xf numFmtId="9" fontId="38" fillId="0" borderId="4" xfId="49" applyFont="1" applyBorder="1" applyAlignment="1">
      <alignment horizontal="right" vertical="center" wrapText="1"/>
    </xf>
    <xf numFmtId="188" fontId="38" fillId="4" borderId="4" xfId="57" applyNumberFormat="1" applyFont="1" applyFill="1" applyBorder="1" applyAlignment="1">
      <alignment horizontal="left" vertical="center" wrapText="1"/>
    </xf>
    <xf numFmtId="198" fontId="38" fillId="7" borderId="4" xfId="57" applyNumberFormat="1" applyFont="1" applyFill="1" applyBorder="1" applyAlignment="1">
      <alignment horizontal="right" vertical="center" wrapText="1"/>
    </xf>
    <xf numFmtId="189" fontId="38" fillId="0" borderId="10" xfId="1" applyNumberFormat="1" applyFont="1" applyBorder="1" applyAlignment="1">
      <alignment horizontal="right" vertical="center" wrapText="1"/>
    </xf>
    <xf numFmtId="9" fontId="38" fillId="0" borderId="10" xfId="49" applyFont="1" applyBorder="1" applyAlignment="1">
      <alignment horizontal="right" vertical="center" wrapText="1"/>
    </xf>
    <xf numFmtId="188" fontId="38" fillId="4" borderId="10" xfId="57" applyNumberFormat="1" applyFont="1" applyFill="1" applyBorder="1" applyAlignment="1">
      <alignment horizontal="left" vertical="center" wrapText="1"/>
    </xf>
    <xf numFmtId="198" fontId="38" fillId="7" borderId="10" xfId="57" applyNumberFormat="1" applyFont="1" applyFill="1" applyBorder="1" applyAlignment="1">
      <alignment horizontal="right" vertical="center" wrapText="1"/>
    </xf>
    <xf numFmtId="9" fontId="38" fillId="0" borderId="4" xfId="49" applyNumberFormat="1" applyFont="1" applyBorder="1" applyAlignment="1">
      <alignment horizontal="right" vertical="center" wrapText="1"/>
    </xf>
    <xf numFmtId="9" fontId="38" fillId="0" borderId="7" xfId="49" applyFont="1" applyFill="1" applyBorder="1" applyAlignment="1">
      <alignment horizontal="right" vertical="center" wrapText="1"/>
    </xf>
    <xf numFmtId="189" fontId="38" fillId="0" borderId="4" xfId="1" applyNumberFormat="1" applyFont="1" applyFill="1" applyBorder="1" applyAlignment="1">
      <alignment horizontal="right" vertical="center" wrapText="1"/>
    </xf>
    <xf numFmtId="189" fontId="38" fillId="0" borderId="12" xfId="1" applyNumberFormat="1" applyFont="1" applyBorder="1" applyAlignment="1">
      <alignment horizontal="right" vertical="center" wrapText="1"/>
    </xf>
    <xf numFmtId="9" fontId="38" fillId="0" borderId="12" xfId="49" applyFont="1" applyBorder="1" applyAlignment="1">
      <alignment horizontal="right" vertical="center" wrapText="1"/>
    </xf>
    <xf numFmtId="198" fontId="38" fillId="7" borderId="12" xfId="57" applyNumberFormat="1" applyFont="1" applyFill="1" applyBorder="1" applyAlignment="1">
      <alignment horizontal="right" vertical="center" wrapText="1"/>
    </xf>
    <xf numFmtId="9" fontId="38" fillId="0" borderId="7" xfId="49" applyNumberFormat="1" applyFont="1" applyBorder="1" applyAlignment="1">
      <alignment horizontal="right" vertical="center" wrapText="1"/>
    </xf>
    <xf numFmtId="9" fontId="38" fillId="0" borderId="4" xfId="49" applyNumberFormat="1" applyFont="1" applyFill="1" applyBorder="1" applyAlignment="1">
      <alignment horizontal="right" vertical="center" wrapText="1"/>
    </xf>
    <xf numFmtId="190" fontId="57" fillId="0" borderId="0" xfId="57" applyNumberFormat="1" applyFont="1" applyFill="1" applyAlignment="1">
      <alignment horizontal="left" vertical="center" wrapText="1"/>
    </xf>
    <xf numFmtId="190" fontId="58" fillId="8" borderId="13" xfId="1" applyNumberFormat="1" applyFont="1" applyFill="1" applyBorder="1" applyAlignment="1">
      <alignment horizontal="left" vertical="top" wrapText="1"/>
    </xf>
    <xf numFmtId="190" fontId="39" fillId="9" borderId="2" xfId="57" applyNumberFormat="1" applyFont="1" applyFill="1" applyBorder="1" applyAlignment="1">
      <alignment horizontal="left" vertical="top" wrapText="1"/>
    </xf>
    <xf numFmtId="0" fontId="39" fillId="9" borderId="2" xfId="57" applyFont="1" applyFill="1" applyBorder="1" applyAlignment="1">
      <alignment horizontal="left" vertical="top" wrapText="1"/>
    </xf>
    <xf numFmtId="190" fontId="39" fillId="8" borderId="2" xfId="57" applyNumberFormat="1" applyFont="1" applyFill="1" applyBorder="1" applyAlignment="1">
      <alignment horizontal="left" vertical="top" wrapText="1"/>
    </xf>
    <xf numFmtId="188" fontId="38" fillId="0" borderId="7" xfId="1" applyNumberFormat="1" applyFont="1" applyBorder="1" applyAlignment="1">
      <alignment horizontal="right" vertical="center" wrapText="1"/>
    </xf>
    <xf numFmtId="190" fontId="38" fillId="8" borderId="14" xfId="57" applyNumberFormat="1" applyFont="1" applyFill="1" applyBorder="1" applyAlignment="1">
      <alignment horizontal="right" vertical="center" wrapText="1"/>
    </xf>
    <xf numFmtId="190" fontId="38" fillId="0" borderId="7" xfId="57" applyNumberFormat="1" applyFont="1" applyFill="1" applyBorder="1" applyAlignment="1">
      <alignment horizontal="right" vertical="center" wrapText="1"/>
    </xf>
    <xf numFmtId="0" fontId="38" fillId="0" borderId="7" xfId="57" applyFont="1" applyFill="1" applyBorder="1" applyAlignment="1">
      <alignment horizontal="right" vertical="center" wrapText="1"/>
    </xf>
    <xf numFmtId="188" fontId="38" fillId="0" borderId="4" xfId="1" applyNumberFormat="1" applyFont="1" applyBorder="1" applyAlignment="1">
      <alignment horizontal="right" vertical="center" wrapText="1"/>
    </xf>
    <xf numFmtId="190" fontId="38" fillId="8" borderId="15" xfId="57" applyNumberFormat="1" applyFont="1" applyFill="1" applyBorder="1" applyAlignment="1">
      <alignment horizontal="right" vertical="center" wrapText="1"/>
    </xf>
    <xf numFmtId="190" fontId="38" fillId="0" borderId="4" xfId="57" applyNumberFormat="1" applyFont="1" applyFill="1" applyBorder="1" applyAlignment="1">
      <alignment horizontal="right" vertical="center" wrapText="1"/>
    </xf>
    <xf numFmtId="0" fontId="38" fillId="0" borderId="4" xfId="57" applyFont="1" applyFill="1" applyBorder="1" applyAlignment="1">
      <alignment horizontal="right" vertical="center" wrapText="1"/>
    </xf>
    <xf numFmtId="188" fontId="38" fillId="0" borderId="10" xfId="1" applyNumberFormat="1" applyFont="1" applyBorder="1" applyAlignment="1">
      <alignment horizontal="right" vertical="center" wrapText="1"/>
    </xf>
    <xf numFmtId="190" fontId="38" fillId="8" borderId="16" xfId="57" applyNumberFormat="1" applyFont="1" applyFill="1" applyBorder="1" applyAlignment="1">
      <alignment horizontal="right" vertical="center" wrapText="1"/>
    </xf>
    <xf numFmtId="190" fontId="38" fillId="0" borderId="10" xfId="57" applyNumberFormat="1" applyFont="1" applyFill="1" applyBorder="1" applyAlignment="1">
      <alignment horizontal="right" vertical="center" wrapText="1"/>
    </xf>
    <xf numFmtId="0" fontId="38" fillId="0" borderId="10" xfId="57" applyFont="1" applyFill="1" applyBorder="1" applyAlignment="1">
      <alignment horizontal="right" vertical="center" wrapText="1"/>
    </xf>
    <xf numFmtId="188" fontId="38" fillId="0" borderId="12" xfId="1" applyNumberFormat="1" applyFont="1" applyBorder="1" applyAlignment="1">
      <alignment horizontal="right" vertical="center" wrapText="1"/>
    </xf>
    <xf numFmtId="190" fontId="38" fillId="8" borderId="17" xfId="57" applyNumberFormat="1" applyFont="1" applyFill="1" applyBorder="1" applyAlignment="1">
      <alignment horizontal="right" vertical="center" wrapText="1"/>
    </xf>
    <xf numFmtId="190" fontId="38" fillId="0" borderId="12" xfId="57" applyNumberFormat="1" applyFont="1" applyFill="1" applyBorder="1" applyAlignment="1">
      <alignment horizontal="right" vertical="center" wrapText="1"/>
    </xf>
    <xf numFmtId="0" fontId="38" fillId="0" borderId="12" xfId="57" applyFont="1" applyFill="1" applyBorder="1" applyAlignment="1">
      <alignment horizontal="right" vertical="center" wrapText="1"/>
    </xf>
    <xf numFmtId="199" fontId="38" fillId="4" borderId="0" xfId="57" applyNumberFormat="1" applyFont="1" applyFill="1" applyAlignment="1">
      <alignment horizontal="left" wrapText="1"/>
    </xf>
    <xf numFmtId="199" fontId="38" fillId="0" borderId="0" xfId="57" applyNumberFormat="1" applyFont="1" applyFill="1" applyAlignment="1">
      <alignment horizontal="left" wrapText="1"/>
    </xf>
    <xf numFmtId="0" fontId="38" fillId="4" borderId="0" xfId="57" applyFont="1" applyFill="1" applyAlignment="1">
      <alignment horizontal="left" wrapText="1"/>
    </xf>
    <xf numFmtId="0" fontId="38" fillId="10" borderId="0" xfId="57" applyFont="1" applyFill="1" applyAlignment="1">
      <alignment horizontal="left" wrapText="1"/>
    </xf>
    <xf numFmtId="0" fontId="38" fillId="11" borderId="0" xfId="57" applyFont="1" applyFill="1" applyAlignment="1">
      <alignment horizontal="left" wrapText="1"/>
    </xf>
    <xf numFmtId="192" fontId="38" fillId="0" borderId="12" xfId="57" applyNumberFormat="1" applyFont="1" applyFill="1" applyBorder="1" applyAlignment="1">
      <alignment horizontal="right" vertical="center" wrapText="1"/>
    </xf>
    <xf numFmtId="180" fontId="38" fillId="0" borderId="12" xfId="54" applyNumberFormat="1" applyFont="1" applyFill="1" applyBorder="1" applyAlignment="1">
      <alignment horizontal="right" vertical="center" wrapText="1" shrinkToFit="1"/>
    </xf>
    <xf numFmtId="188" fontId="49" fillId="0" borderId="7" xfId="1" applyNumberFormat="1" applyFont="1" applyFill="1" applyBorder="1" applyAlignment="1">
      <alignment horizontal="left" vertical="center" wrapText="1"/>
    </xf>
    <xf numFmtId="0" fontId="47" fillId="0" borderId="7" xfId="57" applyFont="1" applyFill="1" applyBorder="1" applyAlignment="1">
      <alignment horizontal="left" vertical="center" wrapText="1"/>
    </xf>
    <xf numFmtId="0" fontId="47" fillId="0" borderId="4" xfId="57" applyFont="1" applyFill="1" applyBorder="1" applyAlignment="1">
      <alignment horizontal="left" vertical="center" wrapText="1"/>
    </xf>
    <xf numFmtId="0" fontId="47" fillId="0" borderId="10" xfId="57" applyFont="1" applyFill="1" applyBorder="1" applyAlignment="1">
      <alignment horizontal="left" vertical="center" wrapText="1"/>
    </xf>
    <xf numFmtId="0" fontId="0" fillId="0" borderId="0" xfId="0" applyFill="1" applyAlignment="1"/>
    <xf numFmtId="0" fontId="59" fillId="0" borderId="4" xfId="57" applyFont="1" applyFill="1" applyBorder="1" applyAlignment="1">
      <alignment horizontal="left" vertical="center" wrapText="1"/>
    </xf>
    <xf numFmtId="0" fontId="59" fillId="0" borderId="12" xfId="57" applyFont="1" applyFill="1" applyBorder="1" applyAlignment="1">
      <alignment horizontal="left" vertical="center" wrapText="1"/>
    </xf>
    <xf numFmtId="188" fontId="40" fillId="5" borderId="18" xfId="1" applyNumberFormat="1" applyFont="1" applyFill="1" applyBorder="1" applyAlignment="1">
      <alignment horizontal="left" vertical="center" wrapText="1"/>
    </xf>
    <xf numFmtId="188" fontId="40" fillId="5" borderId="19" xfId="1" applyNumberFormat="1" applyFont="1" applyFill="1" applyBorder="1" applyAlignment="1">
      <alignment horizontal="left" vertical="center" wrapText="1"/>
    </xf>
    <xf numFmtId="188" fontId="40" fillId="5" borderId="20" xfId="1" applyNumberFormat="1" applyFont="1" applyFill="1" applyBorder="1" applyAlignment="1">
      <alignment horizontal="left" vertical="center" wrapText="1"/>
    </xf>
    <xf numFmtId="188" fontId="40" fillId="5" borderId="21" xfId="1" applyNumberFormat="1" applyFont="1" applyFill="1" applyBorder="1" applyAlignment="1">
      <alignment horizontal="left" vertical="center" wrapText="1"/>
    </xf>
    <xf numFmtId="188" fontId="40" fillId="5" borderId="3" xfId="1" applyNumberFormat="1" applyFont="1" applyFill="1" applyBorder="1" applyAlignment="1">
      <alignment horizontal="left" vertical="center" wrapText="1"/>
    </xf>
    <xf numFmtId="188" fontId="40" fillId="5" borderId="22" xfId="1" applyNumberFormat="1" applyFont="1" applyFill="1" applyBorder="1" applyAlignment="1">
      <alignment horizontal="left" vertical="center" wrapText="1"/>
    </xf>
    <xf numFmtId="188" fontId="40" fillId="5" borderId="23" xfId="1" applyNumberFormat="1" applyFont="1" applyFill="1" applyBorder="1" applyAlignment="1">
      <alignment vertical="center" wrapText="1"/>
    </xf>
    <xf numFmtId="188" fontId="40" fillId="5" borderId="1" xfId="1" applyNumberFormat="1" applyFont="1" applyFill="1" applyBorder="1" applyAlignment="1">
      <alignment horizontal="left" vertical="center" wrapText="1"/>
    </xf>
    <xf numFmtId="188" fontId="40" fillId="5" borderId="22" xfId="1" applyNumberFormat="1" applyFont="1" applyFill="1" applyBorder="1" applyAlignment="1">
      <alignment horizontal="left" vertical="center"/>
    </xf>
    <xf numFmtId="188" fontId="40" fillId="5" borderId="9" xfId="1" applyNumberFormat="1" applyFont="1" applyFill="1" applyBorder="1" applyAlignment="1">
      <alignment horizontal="left" vertical="center"/>
    </xf>
    <xf numFmtId="188" fontId="40" fillId="5" borderId="24" xfId="1" applyNumberFormat="1" applyFont="1" applyFill="1" applyBorder="1" applyAlignment="1">
      <alignment horizontal="left" vertical="center" wrapText="1"/>
    </xf>
    <xf numFmtId="9" fontId="38" fillId="0" borderId="4" xfId="49" applyFont="1" applyFill="1" applyBorder="1" applyAlignment="1">
      <alignment horizontal="right" vertical="center" wrapText="1"/>
    </xf>
    <xf numFmtId="188" fontId="38" fillId="4" borderId="12" xfId="57" applyNumberFormat="1" applyFont="1" applyFill="1" applyBorder="1" applyAlignment="1">
      <alignment horizontal="left" vertical="center" wrapText="1"/>
    </xf>
    <xf numFmtId="189" fontId="41" fillId="5" borderId="19" xfId="1" applyNumberFormat="1" applyFont="1" applyFill="1" applyBorder="1" applyAlignment="1">
      <alignment horizontal="right" vertical="center" wrapText="1"/>
    </xf>
    <xf numFmtId="9" fontId="40" fillId="5" borderId="19" xfId="49" applyFont="1" applyFill="1" applyBorder="1" applyAlignment="1">
      <alignment horizontal="right" vertical="center" wrapText="1"/>
    </xf>
    <xf numFmtId="188" fontId="40" fillId="5" borderId="19" xfId="1" applyNumberFormat="1" applyFont="1" applyFill="1" applyBorder="1" applyAlignment="1">
      <alignment horizontal="right" vertical="center" wrapText="1"/>
    </xf>
    <xf numFmtId="189" fontId="41" fillId="5" borderId="3" xfId="1" applyNumberFormat="1" applyFont="1" applyFill="1" applyBorder="1" applyAlignment="1">
      <alignment horizontal="right" vertical="center" wrapText="1"/>
    </xf>
    <xf numFmtId="9" fontId="40" fillId="5" borderId="3" xfId="49" applyFont="1" applyFill="1" applyBorder="1" applyAlignment="1">
      <alignment horizontal="right" vertical="center" wrapText="1"/>
    </xf>
    <xf numFmtId="188" fontId="40" fillId="5" borderId="3" xfId="1" applyNumberFormat="1" applyFont="1" applyFill="1" applyBorder="1" applyAlignment="1">
      <alignment horizontal="right" vertical="center" wrapText="1"/>
    </xf>
    <xf numFmtId="189" fontId="41" fillId="5" borderId="1" xfId="1" applyNumberFormat="1" applyFont="1" applyFill="1" applyBorder="1" applyAlignment="1">
      <alignment horizontal="right" vertical="center" wrapText="1"/>
    </xf>
    <xf numFmtId="188" fontId="40" fillId="5" borderId="1" xfId="1" applyNumberFormat="1" applyFont="1" applyFill="1" applyBorder="1" applyAlignment="1">
      <alignment horizontal="right" vertical="center" wrapText="1"/>
    </xf>
    <xf numFmtId="189" fontId="41" fillId="5" borderId="24" xfId="1" applyNumberFormat="1" applyFont="1" applyFill="1" applyBorder="1" applyAlignment="1">
      <alignment horizontal="right" vertical="center" wrapText="1"/>
    </xf>
    <xf numFmtId="188" fontId="40" fillId="5" borderId="24" xfId="1" applyNumberFormat="1" applyFont="1" applyFill="1" applyBorder="1" applyAlignment="1">
      <alignment horizontal="right" vertical="center" wrapText="1"/>
    </xf>
    <xf numFmtId="188" fontId="40" fillId="5" borderId="25" xfId="1" applyNumberFormat="1" applyFont="1" applyFill="1" applyBorder="1" applyAlignment="1">
      <alignment horizontal="right" vertical="center" wrapText="1"/>
    </xf>
    <xf numFmtId="190" fontId="40" fillId="5" borderId="19" xfId="1" applyNumberFormat="1" applyFont="1" applyFill="1" applyBorder="1" applyAlignment="1">
      <alignment horizontal="right" vertical="center" wrapText="1"/>
    </xf>
    <xf numFmtId="188" fontId="40" fillId="5" borderId="21" xfId="1" applyNumberFormat="1" applyFont="1" applyFill="1" applyBorder="1" applyAlignment="1">
      <alignment horizontal="right" vertical="center" wrapText="1"/>
    </xf>
    <xf numFmtId="190" fontId="40" fillId="5" borderId="3" xfId="1" applyNumberFormat="1" applyFont="1" applyFill="1" applyBorder="1" applyAlignment="1">
      <alignment horizontal="right" vertical="center" wrapText="1"/>
    </xf>
    <xf numFmtId="188" fontId="40" fillId="5" borderId="23" xfId="1" applyNumberFormat="1" applyFont="1" applyFill="1" applyBorder="1" applyAlignment="1">
      <alignment horizontal="right" vertical="center" wrapText="1"/>
    </xf>
    <xf numFmtId="190" fontId="40" fillId="5" borderId="1" xfId="1" applyNumberFormat="1" applyFont="1" applyFill="1" applyBorder="1" applyAlignment="1">
      <alignment horizontal="right" vertical="center" wrapText="1"/>
    </xf>
    <xf numFmtId="188" fontId="40" fillId="5" borderId="26" xfId="1" applyNumberFormat="1" applyFont="1" applyFill="1" applyBorder="1" applyAlignment="1">
      <alignment horizontal="right" vertical="center" wrapText="1"/>
    </xf>
    <xf numFmtId="190" fontId="40" fillId="5" borderId="24" xfId="1" applyNumberFormat="1" applyFont="1" applyFill="1" applyBorder="1" applyAlignment="1">
      <alignment horizontal="right" vertical="center" wrapText="1"/>
    </xf>
    <xf numFmtId="188" fontId="38" fillId="0" borderId="0" xfId="57" applyNumberFormat="1" applyFont="1" applyFill="1" applyAlignment="1">
      <alignment horizontal="left" vertical="center" wrapText="1"/>
    </xf>
    <xf numFmtId="200" fontId="38" fillId="0" borderId="0" xfId="57" applyNumberFormat="1" applyFont="1" applyFill="1" applyAlignment="1">
      <alignment horizontal="left" vertical="center" wrapText="1"/>
    </xf>
    <xf numFmtId="0" fontId="43" fillId="5" borderId="2" xfId="54" applyFont="1" applyFill="1" applyBorder="1" applyAlignment="1">
      <alignment horizontal="left" vertical="top" wrapText="1"/>
    </xf>
    <xf numFmtId="0" fontId="49" fillId="0" borderId="7" xfId="55" applyFont="1" applyFill="1" applyBorder="1" applyAlignment="1">
      <alignment horizontal="left" vertical="center" wrapText="1"/>
    </xf>
    <xf numFmtId="0" fontId="49" fillId="0" borderId="7" xfId="52" applyFont="1" applyFill="1" applyBorder="1" applyAlignment="1">
      <alignment horizontal="left" vertical="center" wrapText="1"/>
    </xf>
    <xf numFmtId="188" fontId="38" fillId="4" borderId="7" xfId="1" applyNumberFormat="1" applyFont="1" applyFill="1" applyBorder="1" applyAlignment="1">
      <alignment horizontal="left" vertical="center" wrapText="1"/>
    </xf>
    <xf numFmtId="0" fontId="49" fillId="4" borderId="4" xfId="55" applyFont="1" applyFill="1" applyBorder="1" applyAlignment="1">
      <alignment horizontal="left" vertical="center" wrapText="1"/>
    </xf>
    <xf numFmtId="0" fontId="49" fillId="0" borderId="4" xfId="52" applyFont="1" applyFill="1" applyBorder="1" applyAlignment="1">
      <alignment horizontal="left" vertical="center" wrapText="1"/>
    </xf>
    <xf numFmtId="0" fontId="49" fillId="0" borderId="4" xfId="55" applyFont="1" applyFill="1" applyBorder="1" applyAlignment="1">
      <alignment horizontal="left" vertical="center" wrapText="1"/>
    </xf>
    <xf numFmtId="0" fontId="49" fillId="0" borderId="10" xfId="52" applyFont="1" applyFill="1" applyBorder="1" applyAlignment="1">
      <alignment horizontal="left" vertical="center" wrapText="1"/>
    </xf>
    <xf numFmtId="0" fontId="49" fillId="4" borderId="7" xfId="55" applyFont="1" applyFill="1" applyBorder="1" applyAlignment="1">
      <alignment horizontal="left" vertical="center" wrapText="1"/>
    </xf>
    <xf numFmtId="0" fontId="49" fillId="2" borderId="7" xfId="55" applyFont="1" applyFill="1" applyBorder="1" applyAlignment="1">
      <alignment horizontal="left" vertical="center" wrapText="1"/>
    </xf>
    <xf numFmtId="188" fontId="38" fillId="4" borderId="4" xfId="1" applyNumberFormat="1" applyFont="1" applyFill="1" applyBorder="1" applyAlignment="1">
      <alignment horizontal="left" vertical="center" wrapText="1"/>
    </xf>
    <xf numFmtId="188" fontId="49" fillId="4" borderId="4" xfId="1" applyNumberFormat="1" applyFont="1" applyFill="1" applyBorder="1" applyAlignment="1">
      <alignment horizontal="left" vertical="center" wrapText="1"/>
    </xf>
    <xf numFmtId="195" fontId="40" fillId="5" borderId="1" xfId="1" applyNumberFormat="1" applyFont="1" applyFill="1" applyBorder="1" applyAlignment="1">
      <alignment horizontal="right" vertical="center" wrapText="1"/>
    </xf>
    <xf numFmtId="195" fontId="40" fillId="5" borderId="2" xfId="1" applyNumberFormat="1" applyFont="1" applyFill="1" applyBorder="1" applyAlignment="1">
      <alignment horizontal="right" vertical="center" wrapText="1"/>
    </xf>
    <xf numFmtId="190" fontId="40" fillId="5" borderId="1" xfId="57" applyNumberFormat="1" applyFont="1" applyFill="1" applyBorder="1" applyAlignment="1">
      <alignment horizontal="left" vertical="center" wrapText="1"/>
    </xf>
    <xf numFmtId="0" fontId="38" fillId="0" borderId="7" xfId="57" applyFont="1" applyFill="1" applyBorder="1" applyAlignment="1">
      <alignment horizontal="center" vertical="center" wrapText="1"/>
    </xf>
    <xf numFmtId="0" fontId="38" fillId="0" borderId="4" xfId="57" applyFont="1" applyFill="1" applyBorder="1" applyAlignment="1">
      <alignment horizontal="center" vertical="center" wrapText="1"/>
    </xf>
    <xf numFmtId="0" fontId="38" fillId="12" borderId="4" xfId="57" applyFont="1" applyFill="1" applyBorder="1" applyAlignment="1">
      <alignment horizontal="left" vertical="center" wrapText="1"/>
    </xf>
    <xf numFmtId="0" fontId="38" fillId="0" borderId="10" xfId="57" applyFont="1" applyFill="1" applyBorder="1" applyAlignment="1">
      <alignment horizontal="center" vertical="center" wrapText="1"/>
    </xf>
    <xf numFmtId="0" fontId="38" fillId="12" borderId="7" xfId="57" applyFont="1" applyFill="1" applyBorder="1" applyAlignment="1">
      <alignment horizontal="left" vertical="center" wrapText="1"/>
    </xf>
    <xf numFmtId="2" fontId="49" fillId="12" borderId="4" xfId="51" applyNumberFormat="1" applyFont="1" applyFill="1" applyBorder="1" applyAlignment="1">
      <alignment horizontal="left" vertical="center" wrapText="1"/>
    </xf>
    <xf numFmtId="188" fontId="56" fillId="5" borderId="2" xfId="1" applyNumberFormat="1" applyFont="1" applyFill="1" applyBorder="1" applyAlignment="1">
      <alignment horizontal="left" vertical="top" wrapText="1"/>
    </xf>
    <xf numFmtId="188" fontId="55" fillId="5" borderId="2" xfId="1" applyNumberFormat="1" applyFont="1" applyFill="1" applyBorder="1" applyAlignment="1">
      <alignment horizontal="left" vertical="top" wrapText="1"/>
    </xf>
    <xf numFmtId="188" fontId="38" fillId="6" borderId="27" xfId="1" applyNumberFormat="1" applyFont="1" applyFill="1" applyBorder="1" applyAlignment="1">
      <alignment horizontal="left" vertical="center" wrapText="1"/>
    </xf>
    <xf numFmtId="179" fontId="38" fillId="6" borderId="7" xfId="57" applyNumberFormat="1" applyFont="1" applyFill="1" applyBorder="1" applyAlignment="1">
      <alignment horizontal="right" vertical="center" wrapText="1"/>
    </xf>
    <xf numFmtId="188" fontId="38" fillId="6" borderId="28" xfId="1" applyNumberFormat="1" applyFont="1" applyFill="1" applyBorder="1" applyAlignment="1">
      <alignment horizontal="left" vertical="center" wrapText="1"/>
    </xf>
    <xf numFmtId="179" fontId="38" fillId="6" borderId="4" xfId="57" applyNumberFormat="1" applyFont="1" applyFill="1" applyBorder="1" applyAlignment="1">
      <alignment horizontal="right" vertical="center" wrapText="1"/>
    </xf>
    <xf numFmtId="188" fontId="38" fillId="6" borderId="29" xfId="1" applyNumberFormat="1" applyFont="1" applyFill="1" applyBorder="1" applyAlignment="1">
      <alignment horizontal="left" vertical="center" wrapText="1"/>
    </xf>
    <xf numFmtId="179" fontId="38" fillId="6" borderId="10" xfId="57" applyNumberFormat="1" applyFont="1" applyFill="1" applyBorder="1" applyAlignment="1">
      <alignment horizontal="right" vertical="center" wrapText="1"/>
    </xf>
    <xf numFmtId="190" fontId="39" fillId="8" borderId="13" xfId="1" applyNumberFormat="1" applyFont="1" applyFill="1" applyBorder="1" applyAlignment="1">
      <alignment horizontal="left" vertical="top" wrapText="1"/>
    </xf>
    <xf numFmtId="200" fontId="39" fillId="9" borderId="2" xfId="57" applyNumberFormat="1" applyFont="1" applyFill="1" applyBorder="1" applyAlignment="1">
      <alignment horizontal="left" vertical="top" wrapText="1"/>
    </xf>
    <xf numFmtId="200" fontId="38" fillId="0" borderId="7" xfId="57" applyNumberFormat="1" applyFont="1" applyFill="1" applyBorder="1" applyAlignment="1">
      <alignment horizontal="right" vertical="center" wrapText="1"/>
    </xf>
    <xf numFmtId="200" fontId="38" fillId="0" borderId="4" xfId="57" applyNumberFormat="1" applyFont="1" applyFill="1" applyBorder="1" applyAlignment="1">
      <alignment horizontal="right" vertical="center" wrapText="1"/>
    </xf>
    <xf numFmtId="200" fontId="38" fillId="0" borderId="10" xfId="57" applyNumberFormat="1" applyFont="1" applyFill="1" applyBorder="1" applyAlignment="1">
      <alignment horizontal="right" vertical="center" wrapText="1"/>
    </xf>
    <xf numFmtId="200" fontId="38" fillId="0" borderId="4" xfId="0" applyNumberFormat="1" applyFont="1" applyFill="1" applyBorder="1" applyAlignment="1">
      <alignment horizontal="right" vertical="center" wrapText="1"/>
    </xf>
    <xf numFmtId="0" fontId="38" fillId="0" borderId="0" xfId="57" applyFont="1" applyFill="1" applyAlignment="1">
      <alignment horizontal="center" vertical="center" wrapText="1"/>
    </xf>
    <xf numFmtId="192" fontId="60" fillId="0" borderId="7" xfId="53" applyNumberFormat="1" applyFont="1" applyFill="1" applyBorder="1" applyAlignment="1">
      <alignment horizontal="left" vertical="center" wrapText="1"/>
    </xf>
    <xf numFmtId="192" fontId="60" fillId="0" borderId="0" xfId="53" applyNumberFormat="1" applyFont="1" applyFill="1" applyBorder="1" applyAlignment="1">
      <alignment horizontal="left" vertical="center" wrapText="1"/>
    </xf>
    <xf numFmtId="0" fontId="49" fillId="0" borderId="28" xfId="52" applyFont="1" applyFill="1" applyBorder="1" applyAlignment="1">
      <alignment horizontal="left" vertical="center" wrapText="1"/>
    </xf>
    <xf numFmtId="192" fontId="60" fillId="0" borderId="4" xfId="53" applyNumberFormat="1" applyFont="1" applyFill="1" applyBorder="1" applyAlignment="1">
      <alignment horizontal="left" vertical="center" wrapText="1"/>
    </xf>
    <xf numFmtId="0" fontId="49" fillId="0" borderId="12" xfId="52" applyFont="1" applyFill="1" applyBorder="1" applyAlignment="1">
      <alignment horizontal="left" vertical="center" wrapText="1"/>
    </xf>
    <xf numFmtId="0" fontId="38" fillId="0" borderId="8" xfId="57" applyFont="1" applyFill="1" applyBorder="1" applyAlignment="1">
      <alignment horizontal="left" vertical="center" wrapText="1"/>
    </xf>
    <xf numFmtId="192" fontId="38" fillId="0" borderId="4" xfId="57" applyNumberFormat="1" applyFont="1" applyFill="1" applyBorder="1" applyAlignment="1">
      <alignment horizontal="left" vertical="center" wrapText="1"/>
    </xf>
    <xf numFmtId="188" fontId="49" fillId="4" borderId="7" xfId="1" applyNumberFormat="1" applyFont="1" applyFill="1" applyBorder="1" applyAlignment="1">
      <alignment horizontal="left" vertical="center" wrapText="1"/>
    </xf>
    <xf numFmtId="0" fontId="38" fillId="0" borderId="12" xfId="57" applyFont="1" applyFill="1" applyBorder="1" applyAlignment="1">
      <alignment horizontal="center" vertical="center" wrapText="1"/>
    </xf>
    <xf numFmtId="180" fontId="38" fillId="0" borderId="4" xfId="54" applyNumberFormat="1" applyFont="1" applyFill="1" applyBorder="1" applyAlignment="1">
      <alignment horizontal="left" vertical="center" wrapText="1" shrinkToFit="1"/>
    </xf>
    <xf numFmtId="0" fontId="59" fillId="0" borderId="7" xfId="57" applyFont="1" applyFill="1" applyBorder="1" applyAlignment="1">
      <alignment horizontal="left" vertical="center" wrapText="1"/>
    </xf>
    <xf numFmtId="188" fontId="59" fillId="4" borderId="0" xfId="1" applyNumberFormat="1" applyFont="1" applyFill="1" applyAlignment="1">
      <alignment horizontal="left" vertical="center" wrapText="1"/>
    </xf>
    <xf numFmtId="188" fontId="38" fillId="4" borderId="0" xfId="1" applyNumberFormat="1" applyFont="1" applyFill="1" applyAlignment="1">
      <alignment horizontal="left" vertical="center" wrapText="1"/>
    </xf>
    <xf numFmtId="188" fontId="40" fillId="5" borderId="1" xfId="1" applyNumberFormat="1" applyFont="1" applyFill="1" applyBorder="1" applyAlignment="1">
      <alignment vertical="center" wrapText="1"/>
    </xf>
    <xf numFmtId="0" fontId="38" fillId="6" borderId="12" xfId="57" applyFont="1" applyFill="1" applyBorder="1" applyAlignment="1">
      <alignment horizontal="left" vertical="center" wrapText="1"/>
    </xf>
    <xf numFmtId="179" fontId="38" fillId="6" borderId="12" xfId="57" applyNumberFormat="1" applyFont="1" applyFill="1" applyBorder="1" applyAlignment="1">
      <alignment horizontal="right" vertical="center" wrapText="1"/>
    </xf>
    <xf numFmtId="0" fontId="38" fillId="6" borderId="4" xfId="57" applyFont="1" applyFill="1" applyBorder="1" applyAlignment="1">
      <alignment horizontal="left" vertical="center" wrapText="1"/>
    </xf>
    <xf numFmtId="200" fontId="38" fillId="0" borderId="12" xfId="57" applyNumberFormat="1" applyFont="1" applyFill="1" applyBorder="1" applyAlignment="1">
      <alignment horizontal="right" vertical="center" wrapText="1"/>
    </xf>
    <xf numFmtId="200" fontId="40" fillId="5" borderId="19" xfId="1" applyNumberFormat="1" applyFont="1" applyFill="1" applyBorder="1" applyAlignment="1">
      <alignment horizontal="right" vertical="center" wrapText="1"/>
    </xf>
    <xf numFmtId="200" fontId="40" fillId="5" borderId="1" xfId="1" applyNumberFormat="1" applyFont="1" applyFill="1" applyBorder="1" applyAlignment="1">
      <alignment horizontal="right" vertical="center" wrapText="1"/>
    </xf>
    <xf numFmtId="200" fontId="40" fillId="5" borderId="24" xfId="1" applyNumberFormat="1" applyFont="1" applyFill="1" applyBorder="1" applyAlignment="1">
      <alignment horizontal="right" vertical="center" wrapText="1"/>
    </xf>
    <xf numFmtId="0" fontId="61" fillId="0" borderId="0" xfId="0" applyFont="1" applyFill="1" applyAlignment="1">
      <alignment vertical="center"/>
    </xf>
    <xf numFmtId="0" fontId="62" fillId="0" borderId="0" xfId="0" applyFont="1" applyFill="1" applyAlignment="1">
      <alignment vertical="center"/>
    </xf>
    <xf numFmtId="0" fontId="63" fillId="0" borderId="0" xfId="0" applyFont="1" applyFill="1" applyBorder="1" applyAlignment="1">
      <alignment vertical="center"/>
    </xf>
    <xf numFmtId="0" fontId="64" fillId="0" borderId="0" xfId="0" applyFont="1" applyFill="1" applyBorder="1" applyAlignment="1">
      <alignment vertical="center"/>
    </xf>
    <xf numFmtId="0" fontId="63" fillId="0" borderId="0" xfId="0" applyFont="1" applyFill="1" applyAlignment="1"/>
    <xf numFmtId="0" fontId="63" fillId="0" borderId="0" xfId="0" applyFont="1" applyFill="1" applyAlignment="1">
      <alignment horizontal="center"/>
    </xf>
    <xf numFmtId="0" fontId="63" fillId="0" borderId="0" xfId="0" applyFont="1" applyAlignment="1"/>
    <xf numFmtId="3" fontId="61" fillId="0" borderId="1" xfId="0" applyNumberFormat="1" applyFont="1" applyFill="1" applyBorder="1" applyAlignment="1">
      <alignment vertical="center"/>
    </xf>
    <xf numFmtId="14" fontId="65" fillId="0" borderId="1" xfId="0" applyNumberFormat="1" applyFont="1" applyFill="1" applyBorder="1" applyAlignment="1">
      <alignment vertical="center"/>
    </xf>
    <xf numFmtId="0" fontId="61" fillId="13" borderId="1" xfId="0" applyFont="1" applyFill="1" applyBorder="1" applyAlignment="1">
      <alignment vertical="center"/>
    </xf>
    <xf numFmtId="0" fontId="66" fillId="13" borderId="1" xfId="0" applyFont="1" applyFill="1" applyBorder="1" applyAlignment="1">
      <alignment horizontal="center" vertical="center"/>
    </xf>
    <xf numFmtId="176" fontId="67" fillId="13" borderId="1" xfId="0" applyNumberFormat="1" applyFont="1" applyFill="1" applyBorder="1" applyAlignment="1">
      <alignment horizontal="center" vertical="center"/>
    </xf>
    <xf numFmtId="0" fontId="67" fillId="13" borderId="1" xfId="0" applyFont="1" applyFill="1" applyBorder="1" applyAlignment="1">
      <alignment horizontal="center" vertical="center"/>
    </xf>
    <xf numFmtId="0" fontId="67" fillId="13" borderId="1" xfId="0" applyFont="1" applyFill="1" applyBorder="1" applyAlignment="1">
      <alignment vertical="center"/>
    </xf>
    <xf numFmtId="0" fontId="68" fillId="14" borderId="20" xfId="0" applyFont="1" applyFill="1" applyBorder="1" applyAlignment="1">
      <alignment vertical="center"/>
    </xf>
    <xf numFmtId="0" fontId="68" fillId="14" borderId="21" xfId="0" applyFont="1" applyFill="1" applyBorder="1" applyAlignment="1">
      <alignment horizontal="center" vertical="center"/>
    </xf>
    <xf numFmtId="0" fontId="68" fillId="14" borderId="5" xfId="0" applyFont="1" applyFill="1" applyBorder="1" applyAlignment="1">
      <alignment horizontal="center" vertical="center"/>
    </xf>
    <xf numFmtId="0" fontId="68" fillId="14" borderId="30" xfId="0" applyFont="1" applyFill="1" applyBorder="1" applyAlignment="1">
      <alignment horizontal="center" vertical="center"/>
    </xf>
    <xf numFmtId="0" fontId="69" fillId="0" borderId="31" xfId="0" applyFont="1" applyFill="1" applyBorder="1" applyAlignment="1">
      <alignment horizontal="center" vertical="center" wrapText="1"/>
    </xf>
    <xf numFmtId="0" fontId="69" fillId="0" borderId="13" xfId="0" applyFont="1" applyFill="1" applyBorder="1" applyAlignment="1">
      <alignment horizontal="left" vertical="center"/>
    </xf>
    <xf numFmtId="0" fontId="69" fillId="0" borderId="32" xfId="0" applyFont="1" applyFill="1" applyBorder="1" applyAlignment="1">
      <alignment horizontal="left" vertical="center"/>
    </xf>
    <xf numFmtId="0" fontId="70" fillId="0" borderId="13" xfId="0" applyFont="1" applyFill="1" applyBorder="1" applyAlignment="1">
      <alignment horizontal="center" vertical="center"/>
    </xf>
    <xf numFmtId="0" fontId="71" fillId="0" borderId="33" xfId="0" applyFont="1" applyFill="1" applyBorder="1" applyAlignment="1">
      <alignment horizontal="center" vertical="center"/>
    </xf>
    <xf numFmtId="0" fontId="61" fillId="0" borderId="33" xfId="0" applyFont="1" applyFill="1" applyBorder="1" applyAlignment="1">
      <alignment horizontal="center" vertical="center"/>
    </xf>
    <xf numFmtId="198" fontId="69" fillId="15" borderId="1" xfId="0" applyNumberFormat="1" applyFont="1" applyFill="1" applyBorder="1" applyAlignment="1">
      <alignment vertical="center"/>
    </xf>
    <xf numFmtId="0" fontId="72" fillId="16" borderId="11" xfId="0" applyFont="1" applyFill="1" applyBorder="1" applyAlignment="1">
      <alignment vertical="center"/>
    </xf>
    <xf numFmtId="0" fontId="68" fillId="16" borderId="17" xfId="0" applyFont="1" applyFill="1" applyBorder="1" applyAlignment="1">
      <alignment vertical="center"/>
    </xf>
    <xf numFmtId="0" fontId="72" fillId="16" borderId="34" xfId="0" applyFont="1" applyFill="1" applyBorder="1" applyAlignment="1">
      <alignment horizontal="left" vertical="center" indent="2"/>
    </xf>
    <xf numFmtId="0" fontId="68" fillId="16" borderId="34" xfId="0" applyFont="1" applyFill="1" applyBorder="1" applyAlignment="1">
      <alignment horizontal="left" vertical="center" indent="1"/>
    </xf>
    <xf numFmtId="198" fontId="73" fillId="16" borderId="1" xfId="0" applyNumberFormat="1" applyFont="1" applyFill="1" applyBorder="1" applyAlignment="1">
      <alignment horizontal="center" vertical="center"/>
    </xf>
    <xf numFmtId="0" fontId="74" fillId="0" borderId="27" xfId="0" applyFont="1" applyFill="1" applyBorder="1" applyAlignment="1">
      <alignment horizontal="center" vertical="center" wrapText="1"/>
    </xf>
    <xf numFmtId="0" fontId="75" fillId="0" borderId="3" xfId="0" applyFont="1" applyFill="1" applyBorder="1" applyAlignment="1">
      <alignment horizontal="center" vertical="center" wrapText="1"/>
    </xf>
    <xf numFmtId="0" fontId="76" fillId="0" borderId="1" xfId="0" applyFont="1" applyFill="1" applyBorder="1" applyAlignment="1">
      <alignment horizontal="center" vertical="center" wrapText="1"/>
    </xf>
    <xf numFmtId="0" fontId="74" fillId="0" borderId="28" xfId="0" applyFont="1" applyFill="1" applyBorder="1" applyAlignment="1">
      <alignment horizontal="center" vertical="center" wrapText="1"/>
    </xf>
    <xf numFmtId="0" fontId="75" fillId="0" borderId="1" xfId="0" applyFont="1" applyFill="1" applyBorder="1" applyAlignment="1">
      <alignment horizontal="center" vertical="center" wrapText="1"/>
    </xf>
    <xf numFmtId="0" fontId="77" fillId="0" borderId="1" xfId="0" applyFont="1" applyFill="1" applyBorder="1" applyAlignment="1">
      <alignment horizontal="center" vertical="center" wrapText="1"/>
    </xf>
    <xf numFmtId="0" fontId="78" fillId="0" borderId="1" xfId="0" applyFont="1" applyFill="1" applyBorder="1" applyAlignment="1">
      <alignment horizontal="center" vertical="center" wrapText="1"/>
    </xf>
    <xf numFmtId="0" fontId="74" fillId="0" borderId="5" xfId="0" applyFont="1" applyFill="1" applyBorder="1" applyAlignment="1">
      <alignment horizontal="center" vertical="center" wrapText="1"/>
    </xf>
    <xf numFmtId="0" fontId="79" fillId="0" borderId="1" xfId="0" applyFont="1" applyFill="1" applyBorder="1" applyAlignment="1">
      <alignment horizontal="center" vertical="center" wrapText="1"/>
    </xf>
    <xf numFmtId="0" fontId="79" fillId="2" borderId="1" xfId="0" applyFont="1" applyFill="1" applyBorder="1" applyAlignment="1">
      <alignment horizontal="center" vertical="center" wrapText="1"/>
    </xf>
    <xf numFmtId="0" fontId="80" fillId="0" borderId="13" xfId="0" applyFont="1" applyFill="1" applyBorder="1" applyAlignment="1">
      <alignment horizontal="center" vertical="center" wrapText="1"/>
    </xf>
    <xf numFmtId="0" fontId="81" fillId="0" borderId="1" xfId="0" applyFont="1" applyFill="1" applyBorder="1" applyAlignment="1">
      <alignment horizontal="center" vertical="center" wrapText="1"/>
    </xf>
    <xf numFmtId="0" fontId="79" fillId="0" borderId="2" xfId="0" applyFont="1" applyFill="1" applyBorder="1" applyAlignment="1">
      <alignment horizontal="center" vertical="center" wrapText="1"/>
    </xf>
    <xf numFmtId="0" fontId="79" fillId="0" borderId="4" xfId="0" applyFont="1" applyFill="1" applyBorder="1" applyAlignment="1">
      <alignment horizontal="center" vertical="center" wrapText="1"/>
    </xf>
    <xf numFmtId="0" fontId="79" fillId="0" borderId="3" xfId="0" applyFont="1" applyFill="1" applyBorder="1" applyAlignment="1">
      <alignment horizontal="center" vertical="center" wrapText="1"/>
    </xf>
    <xf numFmtId="0" fontId="68" fillId="16" borderId="8" xfId="0" applyFont="1" applyFill="1" applyBorder="1" applyAlignment="1">
      <alignment horizontal="center" vertical="center"/>
    </xf>
    <xf numFmtId="0" fontId="68" fillId="16" borderId="33" xfId="0" applyFont="1" applyFill="1" applyBorder="1" applyAlignment="1">
      <alignment vertical="center"/>
    </xf>
    <xf numFmtId="0" fontId="68" fillId="16" borderId="32" xfId="0" applyFont="1" applyFill="1" applyBorder="1" applyAlignment="1">
      <alignment horizontal="left" vertical="center" indent="2"/>
    </xf>
    <xf numFmtId="0" fontId="68" fillId="16" borderId="26" xfId="0" applyFont="1" applyFill="1" applyBorder="1" applyAlignment="1">
      <alignment horizontal="left" vertical="center" indent="2"/>
    </xf>
    <xf numFmtId="0" fontId="68" fillId="16" borderId="35" xfId="0" applyFont="1" applyFill="1" applyBorder="1" applyAlignment="1">
      <alignment horizontal="left" vertical="center" indent="2"/>
    </xf>
    <xf numFmtId="198" fontId="68" fillId="16" borderId="24" xfId="0" applyNumberFormat="1" applyFont="1" applyFill="1" applyBorder="1" applyAlignment="1">
      <alignment vertical="center"/>
    </xf>
    <xf numFmtId="0" fontId="82" fillId="0" borderId="36" xfId="0" applyFont="1" applyFill="1" applyBorder="1" applyAlignment="1">
      <alignment horizontal="left" vertical="center" wrapText="1"/>
    </xf>
    <xf numFmtId="0" fontId="83" fillId="0" borderId="36" xfId="0" applyFont="1" applyFill="1" applyBorder="1" applyAlignment="1">
      <alignment horizontal="left" vertical="center" wrapText="1"/>
    </xf>
    <xf numFmtId="0" fontId="84" fillId="0" borderId="36" xfId="0" applyFont="1" applyFill="1" applyBorder="1" applyAlignment="1">
      <alignment horizontal="left" vertical="center" wrapText="1"/>
    </xf>
    <xf numFmtId="0" fontId="85" fillId="0" borderId="0" xfId="0" applyFont="1" applyFill="1" applyBorder="1" applyAlignment="1">
      <alignment vertical="center"/>
    </xf>
    <xf numFmtId="0" fontId="62" fillId="0" borderId="0" xfId="0" applyFont="1" applyFill="1" applyBorder="1" applyAlignment="1">
      <alignment vertical="center"/>
    </xf>
    <xf numFmtId="0" fontId="86" fillId="0" borderId="0" xfId="0" applyFont="1" applyFill="1" applyBorder="1" applyAlignment="1">
      <alignment vertical="center"/>
    </xf>
    <xf numFmtId="176" fontId="67" fillId="13" borderId="1" xfId="0" applyNumberFormat="1" applyFont="1" applyFill="1" applyBorder="1" applyAlignment="1">
      <alignment vertical="center"/>
    </xf>
    <xf numFmtId="14" fontId="65" fillId="0" borderId="37" xfId="0" applyNumberFormat="1" applyFont="1" applyFill="1" applyBorder="1" applyAlignment="1">
      <alignment horizontal="center" vertical="center"/>
    </xf>
    <xf numFmtId="0" fontId="61" fillId="0" borderId="0" xfId="0" applyFont="1" applyFill="1" applyAlignment="1">
      <alignment horizontal="center" vertical="center"/>
    </xf>
    <xf numFmtId="0" fontId="62" fillId="0" borderId="0" xfId="0" applyFont="1" applyFill="1" applyAlignment="1">
      <alignment horizontal="center" vertical="center"/>
    </xf>
    <xf numFmtId="0" fontId="87" fillId="0" borderId="0" xfId="0" applyFont="1" applyFill="1" applyBorder="1" applyAlignment="1"/>
    <xf numFmtId="0" fontId="87" fillId="0" borderId="0" xfId="0" applyFont="1" applyFill="1" applyBorder="1" applyAlignment="1">
      <alignment horizontal="center"/>
    </xf>
    <xf numFmtId="0" fontId="88" fillId="0" borderId="23" xfId="0" applyFont="1" applyFill="1" applyBorder="1" applyAlignment="1">
      <alignment horizontal="center" vertical="center"/>
    </xf>
    <xf numFmtId="0" fontId="88" fillId="0" borderId="38" xfId="0" applyFont="1" applyFill="1" applyBorder="1" applyAlignment="1">
      <alignment horizontal="center" vertical="center"/>
    </xf>
    <xf numFmtId="0" fontId="88" fillId="0" borderId="38" xfId="0" applyFont="1" applyFill="1" applyBorder="1" applyAlignment="1">
      <alignment horizontal="center" vertical="center" wrapText="1"/>
    </xf>
    <xf numFmtId="0" fontId="88" fillId="0" borderId="13" xfId="0" applyFont="1" applyFill="1" applyBorder="1" applyAlignment="1">
      <alignment horizontal="center" vertical="center"/>
    </xf>
    <xf numFmtId="0" fontId="88" fillId="0" borderId="33" xfId="0" applyFont="1" applyFill="1" applyBorder="1" applyAlignment="1">
      <alignment horizontal="center" vertical="center"/>
    </xf>
    <xf numFmtId="0" fontId="88" fillId="0" borderId="33" xfId="0" applyFont="1" applyFill="1" applyBorder="1" applyAlignment="1">
      <alignment horizontal="center" vertical="center" wrapText="1"/>
    </xf>
    <xf numFmtId="0" fontId="89" fillId="0" borderId="1" xfId="0" applyFont="1" applyFill="1" applyBorder="1" applyAlignment="1">
      <alignment vertical="center"/>
    </xf>
    <xf numFmtId="0" fontId="89" fillId="0" borderId="1" xfId="0" applyFont="1" applyFill="1" applyBorder="1" applyAlignment="1">
      <alignment horizontal="center" vertical="center"/>
    </xf>
    <xf numFmtId="0" fontId="89" fillId="0" borderId="1" xfId="0" applyFont="1" applyFill="1" applyBorder="1" applyAlignment="1">
      <alignment horizontal="center" vertical="center" wrapText="1"/>
    </xf>
    <xf numFmtId="0" fontId="90" fillId="14" borderId="20" xfId="0" applyFont="1" applyFill="1" applyBorder="1" applyAlignment="1">
      <alignment vertical="center"/>
    </xf>
    <xf numFmtId="0" fontId="90" fillId="14" borderId="21" xfId="0" applyFont="1" applyFill="1" applyBorder="1" applyAlignment="1">
      <alignment horizontal="center" vertical="center"/>
    </xf>
    <xf numFmtId="0" fontId="90" fillId="14" borderId="5" xfId="0" applyFont="1" applyFill="1" applyBorder="1" applyAlignment="1">
      <alignment horizontal="center" vertical="center"/>
    </xf>
    <xf numFmtId="0" fontId="90" fillId="14" borderId="30" xfId="0" applyFont="1" applyFill="1" applyBorder="1" applyAlignment="1">
      <alignment horizontal="center" vertical="center"/>
    </xf>
    <xf numFmtId="0" fontId="90" fillId="14" borderId="1" xfId="0" applyFont="1" applyFill="1" applyBorder="1" applyAlignment="1">
      <alignment horizontal="center" vertical="center"/>
    </xf>
    <xf numFmtId="0" fontId="91" fillId="0" borderId="31" xfId="0" applyFont="1" applyFill="1" applyBorder="1" applyAlignment="1">
      <alignment horizontal="center" vertical="center" wrapText="1"/>
    </xf>
    <xf numFmtId="0" fontId="91" fillId="0" borderId="13" xfId="0" applyFont="1" applyFill="1" applyBorder="1" applyAlignment="1">
      <alignment horizontal="left" vertical="center"/>
    </xf>
    <xf numFmtId="0" fontId="91" fillId="0" borderId="32" xfId="0" applyFont="1" applyFill="1" applyBorder="1" applyAlignment="1">
      <alignment horizontal="left" vertical="center"/>
    </xf>
    <xf numFmtId="0" fontId="92" fillId="0" borderId="33" xfId="0" applyFont="1" applyFill="1" applyBorder="1" applyAlignment="1">
      <alignment horizontal="center" vertical="center"/>
    </xf>
    <xf numFmtId="0" fontId="92" fillId="0" borderId="32" xfId="0" applyFont="1" applyFill="1" applyBorder="1" applyAlignment="1">
      <alignment horizontal="center" vertical="center"/>
    </xf>
    <xf numFmtId="198" fontId="91" fillId="15" borderId="1" xfId="0" applyNumberFormat="1" applyFont="1" applyFill="1" applyBorder="1" applyAlignment="1">
      <alignment vertical="center"/>
    </xf>
    <xf numFmtId="0" fontId="93" fillId="16" borderId="11" xfId="0" applyFont="1" applyFill="1" applyBorder="1" applyAlignment="1">
      <alignment vertical="center"/>
    </xf>
    <xf numFmtId="0" fontId="90" fillId="16" borderId="17" xfId="0" applyFont="1" applyFill="1" applyBorder="1" applyAlignment="1">
      <alignment vertical="center"/>
    </xf>
    <xf numFmtId="0" fontId="93" fillId="16" borderId="34" xfId="0" applyFont="1" applyFill="1" applyBorder="1" applyAlignment="1">
      <alignment horizontal="left" vertical="center" indent="2"/>
    </xf>
    <xf numFmtId="0" fontId="90" fillId="16" borderId="34" xfId="0" applyFont="1" applyFill="1" applyBorder="1" applyAlignment="1">
      <alignment horizontal="left" vertical="center" indent="1"/>
    </xf>
    <xf numFmtId="198" fontId="90" fillId="16" borderId="1" xfId="0" applyNumberFormat="1" applyFont="1" applyFill="1" applyBorder="1" applyAlignment="1">
      <alignment vertical="center"/>
    </xf>
    <xf numFmtId="0" fontId="94" fillId="0" borderId="28" xfId="0" applyFont="1" applyFill="1" applyBorder="1" applyAlignment="1">
      <alignment horizontal="left" vertical="center" wrapText="1"/>
    </xf>
    <xf numFmtId="0" fontId="95" fillId="0" borderId="1" xfId="0" applyFont="1" applyFill="1" applyBorder="1" applyAlignment="1">
      <alignment horizontal="center" vertical="center" wrapText="1"/>
    </xf>
    <xf numFmtId="0" fontId="96" fillId="0" borderId="28" xfId="0" applyFont="1" applyFill="1" applyBorder="1" applyAlignment="1">
      <alignment horizontal="left" vertical="center" wrapText="1"/>
    </xf>
    <xf numFmtId="0" fontId="97" fillId="0" borderId="2" xfId="0" applyFont="1" applyFill="1" applyBorder="1" applyAlignment="1">
      <alignment horizontal="center" vertical="center" wrapText="1"/>
    </xf>
    <xf numFmtId="0" fontId="97" fillId="0" borderId="1" xfId="0" applyFont="1" applyFill="1" applyBorder="1" applyAlignment="1">
      <alignment horizontal="center" vertical="center" wrapText="1"/>
    </xf>
    <xf numFmtId="0" fontId="98" fillId="0" borderId="13" xfId="0" applyFont="1" applyFill="1" applyBorder="1" applyAlignment="1">
      <alignment horizontal="center" vertical="center" wrapText="1"/>
    </xf>
    <xf numFmtId="0" fontId="98" fillId="0" borderId="2" xfId="0" applyFont="1" applyFill="1" applyBorder="1" applyAlignment="1">
      <alignment horizontal="center" vertical="center" wrapText="1"/>
    </xf>
    <xf numFmtId="0" fontId="97" fillId="0" borderId="4" xfId="0" applyFont="1" applyFill="1" applyBorder="1" applyAlignment="1">
      <alignment horizontal="center" vertical="center" wrapText="1"/>
    </xf>
    <xf numFmtId="0" fontId="99" fillId="0" borderId="1" xfId="0" applyFont="1" applyFill="1" applyBorder="1" applyAlignment="1"/>
    <xf numFmtId="0" fontId="97" fillId="0" borderId="3" xfId="0" applyFont="1" applyFill="1" applyBorder="1" applyAlignment="1">
      <alignment horizontal="center" vertical="center" wrapText="1"/>
    </xf>
    <xf numFmtId="0" fontId="100" fillId="0" borderId="1" xfId="0" applyFont="1" applyFill="1" applyBorder="1" applyAlignment="1">
      <alignment horizontal="center" vertical="center" wrapText="1"/>
    </xf>
    <xf numFmtId="0" fontId="98" fillId="0" borderId="1" xfId="0" applyFont="1" applyFill="1" applyBorder="1" applyAlignment="1">
      <alignment horizontal="center" vertical="center" wrapText="1"/>
    </xf>
    <xf numFmtId="0" fontId="97" fillId="0" borderId="33" xfId="0" applyFont="1" applyFill="1" applyBorder="1" applyAlignment="1">
      <alignment horizontal="center" vertical="center" wrapText="1"/>
    </xf>
    <xf numFmtId="0" fontId="97" fillId="0" borderId="32" xfId="0" applyFont="1" applyFill="1" applyBorder="1" applyAlignment="1">
      <alignment horizontal="center" vertical="center" wrapText="1"/>
    </xf>
    <xf numFmtId="0" fontId="97" fillId="0" borderId="13" xfId="0" applyFont="1" applyFill="1" applyBorder="1" applyAlignment="1">
      <alignment horizontal="center" vertical="center" wrapText="1"/>
    </xf>
    <xf numFmtId="0" fontId="90" fillId="16" borderId="8" xfId="0" applyFont="1" applyFill="1" applyBorder="1" applyAlignment="1">
      <alignment horizontal="center" vertical="center"/>
    </xf>
    <xf numFmtId="0" fontId="90" fillId="16" borderId="33" xfId="0" applyFont="1" applyFill="1" applyBorder="1" applyAlignment="1">
      <alignment vertical="center"/>
    </xf>
    <xf numFmtId="0" fontId="90" fillId="16" borderId="32" xfId="0" applyFont="1" applyFill="1" applyBorder="1" applyAlignment="1">
      <alignment horizontal="left" vertical="center" indent="2"/>
    </xf>
    <xf numFmtId="0" fontId="90" fillId="16" borderId="26" xfId="0" applyFont="1" applyFill="1" applyBorder="1" applyAlignment="1">
      <alignment horizontal="left" vertical="center" indent="2"/>
    </xf>
    <xf numFmtId="0" fontId="90" fillId="16" borderId="35" xfId="0" applyFont="1" applyFill="1" applyBorder="1" applyAlignment="1">
      <alignment horizontal="left" vertical="center" indent="2"/>
    </xf>
    <xf numFmtId="0" fontId="90" fillId="16" borderId="39" xfId="0" applyFont="1" applyFill="1" applyBorder="1" applyAlignment="1">
      <alignment horizontal="left" vertical="center" indent="2"/>
    </xf>
    <xf numFmtId="0" fontId="101" fillId="0" borderId="36" xfId="0" applyFont="1" applyFill="1" applyBorder="1" applyAlignment="1">
      <alignment horizontal="left" vertical="center" wrapText="1"/>
    </xf>
    <xf numFmtId="0" fontId="102" fillId="0" borderId="36" xfId="0" applyFont="1" applyFill="1" applyBorder="1" applyAlignment="1">
      <alignment horizontal="left" vertical="center" wrapText="1"/>
    </xf>
    <xf numFmtId="0" fontId="103" fillId="0" borderId="36" xfId="0" applyFont="1" applyFill="1" applyBorder="1" applyAlignment="1">
      <alignment horizontal="left" vertical="center" wrapText="1"/>
    </xf>
    <xf numFmtId="0" fontId="104" fillId="0" borderId="0" xfId="0" applyFont="1" applyFill="1" applyBorder="1" applyAlignment="1">
      <alignment vertical="center"/>
    </xf>
    <xf numFmtId="0" fontId="105" fillId="0" borderId="0" xfId="0" applyFont="1" applyFill="1" applyBorder="1" applyAlignment="1">
      <alignment vertical="center"/>
    </xf>
    <xf numFmtId="0" fontId="106" fillId="0" borderId="0" xfId="0" applyFont="1" applyFill="1" applyBorder="1" applyAlignment="1">
      <alignment vertical="center"/>
    </xf>
    <xf numFmtId="0" fontId="107" fillId="0" borderId="0" xfId="0" applyFont="1" applyFill="1" applyBorder="1" applyAlignment="1">
      <alignment vertical="center"/>
    </xf>
    <xf numFmtId="0" fontId="88" fillId="0" borderId="37" xfId="0" applyFont="1" applyFill="1" applyBorder="1" applyAlignment="1">
      <alignment horizontal="center" vertical="center"/>
    </xf>
    <xf numFmtId="176" fontId="108" fillId="0" borderId="1" xfId="1" applyNumberFormat="1" applyFont="1" applyBorder="1" applyAlignment="1">
      <alignment horizontal="center" vertical="center"/>
    </xf>
    <xf numFmtId="201" fontId="108" fillId="0" borderId="1" xfId="1" applyNumberFormat="1" applyFont="1" applyBorder="1" applyAlignment="1">
      <alignment horizontal="center" vertical="center"/>
    </xf>
    <xf numFmtId="201" fontId="108" fillId="0" borderId="1" xfId="1" applyNumberFormat="1" applyFont="1" applyFill="1" applyBorder="1" applyAlignment="1">
      <alignment horizontal="center" vertical="center"/>
    </xf>
    <xf numFmtId="201" fontId="108" fillId="4" borderId="1" xfId="1" applyNumberFormat="1" applyFont="1" applyFill="1" applyBorder="1" applyAlignment="1">
      <alignment horizontal="center" vertical="center"/>
    </xf>
    <xf numFmtId="0" fontId="88" fillId="0" borderId="32" xfId="0" applyFont="1" applyFill="1" applyBorder="1" applyAlignment="1">
      <alignment horizontal="center" vertical="center"/>
    </xf>
    <xf numFmtId="176" fontId="108" fillId="0" borderId="2" xfId="1" applyNumberFormat="1" applyFont="1" applyBorder="1" applyAlignment="1">
      <alignment horizontal="center" vertical="center"/>
    </xf>
    <xf numFmtId="3" fontId="109" fillId="0" borderId="1" xfId="0" applyNumberFormat="1" applyFont="1" applyFill="1" applyBorder="1" applyAlignment="1">
      <alignment horizontal="center" vertical="center"/>
    </xf>
    <xf numFmtId="0" fontId="93" fillId="14" borderId="30" xfId="0" applyFont="1" applyFill="1" applyBorder="1" applyAlignment="1">
      <alignment vertical="center"/>
    </xf>
    <xf numFmtId="0" fontId="90" fillId="14" borderId="3" xfId="0" applyFont="1" applyFill="1" applyBorder="1" applyAlignment="1">
      <alignment horizontal="center" vertical="center"/>
    </xf>
    <xf numFmtId="202" fontId="92" fillId="0" borderId="13" xfId="0" applyNumberFormat="1" applyFont="1" applyFill="1" applyBorder="1" applyAlignment="1">
      <alignment vertical="center"/>
    </xf>
    <xf numFmtId="198" fontId="91" fillId="15" borderId="5" xfId="0" applyNumberFormat="1" applyFont="1" applyFill="1" applyBorder="1" applyAlignment="1">
      <alignment vertical="center"/>
    </xf>
    <xf numFmtId="198" fontId="90" fillId="16" borderId="4" xfId="0" applyNumberFormat="1" applyFont="1" applyFill="1" applyBorder="1" applyAlignment="1">
      <alignment vertical="center"/>
    </xf>
    <xf numFmtId="202" fontId="106" fillId="0" borderId="21" xfId="0" applyNumberFormat="1" applyFont="1" applyFill="1" applyBorder="1" applyAlignment="1">
      <alignment vertical="center"/>
    </xf>
    <xf numFmtId="202" fontId="106" fillId="0" borderId="23" xfId="0" applyNumberFormat="1" applyFont="1" applyFill="1" applyBorder="1" applyAlignment="1">
      <alignment vertical="center"/>
    </xf>
    <xf numFmtId="198" fontId="91" fillId="15" borderId="37" xfId="0" applyNumberFormat="1" applyFont="1" applyFill="1" applyBorder="1" applyAlignment="1">
      <alignment vertical="center"/>
    </xf>
    <xf numFmtId="202" fontId="92" fillId="0" borderId="23" xfId="0" applyNumberFormat="1" applyFont="1" applyFill="1" applyBorder="1" applyAlignment="1">
      <alignment vertical="center"/>
    </xf>
    <xf numFmtId="198" fontId="91" fillId="15" borderId="32" xfId="0" applyNumberFormat="1" applyFont="1" applyFill="1" applyBorder="1" applyAlignment="1">
      <alignment vertical="center"/>
    </xf>
    <xf numFmtId="202" fontId="90" fillId="16" borderId="13" xfId="0" applyNumberFormat="1" applyFont="1" applyFill="1" applyBorder="1" applyAlignment="1">
      <alignment vertical="center"/>
    </xf>
    <xf numFmtId="198" fontId="90" fillId="16" borderId="24" xfId="0" applyNumberFormat="1" applyFont="1" applyFill="1" applyBorder="1" applyAlignment="1">
      <alignment vertical="center"/>
    </xf>
    <xf numFmtId="0" fontId="109" fillId="0" borderId="1" xfId="0" applyFont="1" applyFill="1" applyBorder="1" applyAlignment="1">
      <alignment horizontal="center" vertical="center"/>
    </xf>
    <xf numFmtId="3" fontId="90" fillId="14" borderId="21" xfId="0" applyNumberFormat="1" applyFont="1" applyFill="1" applyBorder="1" applyAlignment="1">
      <alignment horizontal="center" vertical="center"/>
    </xf>
    <xf numFmtId="3" fontId="90" fillId="14" borderId="40" xfId="0" applyNumberFormat="1" applyFont="1" applyFill="1" applyBorder="1" applyAlignment="1">
      <alignment horizontal="center" vertical="center"/>
    </xf>
    <xf numFmtId="0" fontId="103" fillId="0" borderId="41" xfId="0" applyFont="1" applyFill="1" applyBorder="1" applyAlignment="1">
      <alignment horizontal="left" vertical="center" wrapText="1"/>
    </xf>
    <xf numFmtId="0" fontId="110" fillId="0" borderId="0" xfId="0" applyFont="1" applyFill="1" applyBorder="1" applyAlignment="1">
      <alignment vertical="center"/>
    </xf>
    <xf numFmtId="0" fontId="91" fillId="0" borderId="33" xfId="0" applyFont="1" applyFill="1" applyBorder="1" applyAlignment="1">
      <alignment horizontal="left" vertical="center"/>
    </xf>
    <xf numFmtId="0" fontId="70" fillId="0" borderId="23" xfId="0" applyFont="1" applyFill="1" applyBorder="1" applyAlignment="1">
      <alignment horizontal="left" vertical="center" indent="1"/>
    </xf>
    <xf numFmtId="0" fontId="92" fillId="0" borderId="38" xfId="0" applyFont="1" applyFill="1" applyBorder="1" applyAlignment="1">
      <alignment horizontal="left" vertical="center" indent="1"/>
    </xf>
    <xf numFmtId="0" fontId="92" fillId="0" borderId="33" xfId="0" applyFont="1" applyFill="1" applyBorder="1" applyAlignment="1">
      <alignment horizontal="left" vertical="center" indent="1"/>
    </xf>
    <xf numFmtId="0" fontId="111" fillId="0" borderId="13" xfId="0" applyFont="1" applyFill="1" applyBorder="1" applyAlignment="1">
      <alignment vertical="center" wrapText="1"/>
    </xf>
    <xf numFmtId="0" fontId="110" fillId="0" borderId="8" xfId="0" applyFont="1" applyFill="1" applyBorder="1" applyAlignment="1">
      <alignment horizontal="left" vertical="center" wrapText="1"/>
    </xf>
    <xf numFmtId="0" fontId="90" fillId="16" borderId="13" xfId="0" applyFont="1" applyFill="1" applyBorder="1" applyAlignment="1">
      <alignment horizontal="center" vertical="center"/>
    </xf>
    <xf numFmtId="0" fontId="93" fillId="16" borderId="32" xfId="0" applyFont="1" applyFill="1" applyBorder="1" applyAlignment="1">
      <alignment horizontal="center" vertical="center"/>
    </xf>
    <xf numFmtId="0" fontId="93" fillId="16" borderId="33" xfId="0" applyFont="1" applyFill="1" applyBorder="1" applyAlignment="1">
      <alignment horizontal="center" vertical="center"/>
    </xf>
    <xf numFmtId="0" fontId="93" fillId="16" borderId="13" xfId="0" applyFont="1" applyFill="1" applyBorder="1" applyAlignment="1">
      <alignment horizontal="center" vertical="center"/>
    </xf>
    <xf numFmtId="14" fontId="93" fillId="16" borderId="13" xfId="0" applyNumberFormat="1" applyFont="1" applyFill="1" applyBorder="1" applyAlignment="1">
      <alignment horizontal="center" vertical="center" wrapText="1"/>
    </xf>
    <xf numFmtId="0" fontId="70" fillId="0" borderId="1" xfId="0" applyFont="1" applyFill="1" applyBorder="1" applyAlignment="1">
      <alignment horizontal="left" vertical="center" indent="1"/>
    </xf>
    <xf numFmtId="0" fontId="92" fillId="0" borderId="1" xfId="0" applyFont="1" applyFill="1" applyBorder="1" applyAlignment="1">
      <alignment horizontal="left" vertical="center" indent="1"/>
    </xf>
    <xf numFmtId="0" fontId="111" fillId="0" borderId="1" xfId="0" applyFont="1" applyFill="1" applyBorder="1" applyAlignment="1">
      <alignment vertical="center" wrapText="1"/>
    </xf>
    <xf numFmtId="0" fontId="110" fillId="0" borderId="28" xfId="0" applyFont="1" applyFill="1" applyBorder="1" applyAlignment="1">
      <alignment horizontal="left" vertical="center" wrapText="1"/>
    </xf>
    <xf numFmtId="0" fontId="112" fillId="4" borderId="23" xfId="0" applyFont="1" applyFill="1" applyBorder="1" applyAlignment="1">
      <alignment horizontal="center" vertical="center" wrapText="1"/>
    </xf>
    <xf numFmtId="0" fontId="112" fillId="4" borderId="37" xfId="0" applyFont="1" applyFill="1" applyBorder="1" applyAlignment="1">
      <alignment horizontal="center" vertical="center" wrapText="1"/>
    </xf>
    <xf numFmtId="0" fontId="113" fillId="4" borderId="1" xfId="0" applyFont="1" applyFill="1" applyBorder="1" applyAlignment="1">
      <alignment horizontal="center" vertical="center" wrapText="1"/>
    </xf>
    <xf numFmtId="0" fontId="70" fillId="4" borderId="1" xfId="0" applyFont="1" applyFill="1" applyBorder="1" applyAlignment="1">
      <alignment horizontal="left" vertical="center" indent="1"/>
    </xf>
    <xf numFmtId="0" fontId="92" fillId="4" borderId="1" xfId="0" applyFont="1" applyFill="1" applyBorder="1" applyAlignment="1">
      <alignment horizontal="left" vertical="center" indent="1"/>
    </xf>
    <xf numFmtId="0" fontId="111" fillId="4" borderId="1" xfId="0" applyFont="1" applyFill="1" applyBorder="1" applyAlignment="1">
      <alignment vertical="center" wrapText="1"/>
    </xf>
    <xf numFmtId="0" fontId="110" fillId="0" borderId="28" xfId="0" applyFont="1" applyFill="1" applyBorder="1" applyAlignment="1">
      <alignment horizontal="center" vertical="center" wrapText="1"/>
    </xf>
    <xf numFmtId="0" fontId="110" fillId="0" borderId="5" xfId="0" applyFont="1" applyFill="1" applyBorder="1" applyAlignment="1">
      <alignment horizontal="center" vertical="center" wrapText="1"/>
    </xf>
    <xf numFmtId="0" fontId="114" fillId="0" borderId="1" xfId="0" applyFont="1" applyFill="1" applyBorder="1" applyAlignment="1">
      <alignment horizontal="left" vertical="center" wrapText="1"/>
    </xf>
    <xf numFmtId="0" fontId="114" fillId="0" borderId="2" xfId="0" applyFont="1" applyFill="1" applyBorder="1" applyAlignment="1">
      <alignment horizontal="left" vertical="center" wrapText="1"/>
    </xf>
    <xf numFmtId="0" fontId="91" fillId="0" borderId="1" xfId="0" applyFont="1" applyFill="1" applyBorder="1" applyAlignment="1">
      <alignment horizontal="left" vertical="center"/>
    </xf>
    <xf numFmtId="0" fontId="0" fillId="0" borderId="1" xfId="0" applyBorder="1">
      <alignment vertical="center"/>
    </xf>
    <xf numFmtId="0" fontId="115" fillId="0" borderId="42" xfId="0" applyFont="1" applyFill="1" applyBorder="1" applyAlignment="1">
      <alignment horizontal="left" vertical="center" wrapText="1"/>
    </xf>
    <xf numFmtId="0" fontId="115" fillId="0" borderId="36" xfId="0" applyFont="1" applyFill="1" applyBorder="1" applyAlignment="1">
      <alignment horizontal="left" vertical="center"/>
    </xf>
    <xf numFmtId="0" fontId="115" fillId="0" borderId="43" xfId="0" applyFont="1" applyFill="1" applyBorder="1" applyAlignment="1">
      <alignment horizontal="left" vertical="center"/>
    </xf>
    <xf numFmtId="0" fontId="116" fillId="0" borderId="1" xfId="0" applyFont="1" applyFill="1" applyBorder="1" applyAlignment="1">
      <alignment horizontal="left" vertical="center" wrapText="1"/>
    </xf>
    <xf numFmtId="0" fontId="116" fillId="0" borderId="37" xfId="0" applyFont="1" applyFill="1" applyBorder="1" applyAlignment="1">
      <alignment horizontal="left" vertical="center" wrapText="1"/>
    </xf>
    <xf numFmtId="0" fontId="93" fillId="16" borderId="2" xfId="0" applyFont="1" applyFill="1" applyBorder="1" applyAlignment="1">
      <alignment vertical="center"/>
    </xf>
    <xf numFmtId="0" fontId="106" fillId="4" borderId="0" xfId="0" applyFont="1" applyFill="1" applyBorder="1" applyAlignment="1">
      <alignment horizontal="left" vertical="center"/>
    </xf>
    <xf numFmtId="198" fontId="90" fillId="16" borderId="32" xfId="0" applyNumberFormat="1" applyFont="1" applyFill="1" applyBorder="1" applyAlignment="1">
      <alignment vertical="center"/>
    </xf>
    <xf numFmtId="0" fontId="91" fillId="4" borderId="1" xfId="0" applyFont="1" applyFill="1" applyBorder="1" applyAlignment="1">
      <alignment horizontal="left" vertical="center"/>
    </xf>
    <xf numFmtId="0" fontId="0" fillId="4" borderId="1" xfId="0" applyFill="1" applyBorder="1">
      <alignment vertical="center"/>
    </xf>
    <xf numFmtId="198" fontId="91" fillId="4" borderId="1" xfId="0" applyNumberFormat="1" applyFont="1" applyFill="1" applyBorder="1" applyAlignment="1">
      <alignment vertical="center"/>
    </xf>
    <xf numFmtId="0" fontId="117" fillId="4" borderId="0" xfId="0" applyFont="1" applyFill="1" applyAlignment="1">
      <alignment horizontal="center" vertical="center"/>
    </xf>
    <xf numFmtId="0" fontId="108" fillId="0" borderId="0" xfId="0" applyFont="1" applyFill="1" applyBorder="1" applyAlignment="1">
      <alignment horizontal="center" vertical="center"/>
    </xf>
    <xf numFmtId="201" fontId="108" fillId="0" borderId="0" xfId="1" applyNumberFormat="1" applyFont="1" applyAlignment="1">
      <alignment horizontal="center" vertical="center"/>
    </xf>
    <xf numFmtId="179" fontId="108" fillId="0" borderId="1" xfId="1" applyNumberFormat="1" applyFont="1" applyBorder="1" applyAlignment="1">
      <alignment horizontal="center" vertical="center"/>
    </xf>
    <xf numFmtId="198" fontId="91" fillId="17" borderId="2" xfId="0" applyNumberFormat="1" applyFont="1" applyFill="1" applyBorder="1" applyAlignment="1">
      <alignment horizontal="right" vertical="center"/>
    </xf>
    <xf numFmtId="0" fontId="106" fillId="0" borderId="1" xfId="0" applyFont="1" applyFill="1" applyBorder="1" applyAlignment="1">
      <alignment vertical="center"/>
    </xf>
    <xf numFmtId="201" fontId="92" fillId="0" borderId="1" xfId="1" applyNumberFormat="1" applyFont="1" applyBorder="1" applyAlignment="1">
      <alignment vertical="center"/>
    </xf>
    <xf numFmtId="179" fontId="108" fillId="4" borderId="1" xfId="1" applyNumberFormat="1" applyFont="1" applyFill="1" applyBorder="1" applyAlignment="1">
      <alignment horizontal="center" vertical="center"/>
    </xf>
    <xf numFmtId="0" fontId="106" fillId="0" borderId="0" xfId="0" applyFont="1" applyFill="1" applyBorder="1" applyAlignment="1">
      <alignment horizontal="left" vertical="center"/>
    </xf>
    <xf numFmtId="0" fontId="92" fillId="0" borderId="23" xfId="0" applyFont="1" applyFill="1" applyBorder="1" applyAlignment="1">
      <alignment vertical="center"/>
    </xf>
    <xf numFmtId="0" fontId="118" fillId="0" borderId="23" xfId="0" applyFont="1" applyFill="1" applyBorder="1" applyAlignment="1">
      <alignment vertical="center" wrapText="1"/>
    </xf>
    <xf numFmtId="0" fontId="92" fillId="0" borderId="23" xfId="0" applyFont="1" applyFill="1" applyBorder="1" applyAlignment="1">
      <alignment vertical="center" wrapText="1"/>
    </xf>
    <xf numFmtId="198" fontId="91" fillId="4" borderId="2" xfId="0" applyNumberFormat="1" applyFont="1" applyFill="1" applyBorder="1" applyAlignment="1">
      <alignment horizontal="right" vertical="center"/>
    </xf>
    <xf numFmtId="0" fontId="92" fillId="0" borderId="13" xfId="0" applyFont="1" applyFill="1" applyBorder="1" applyAlignment="1">
      <alignment vertical="center"/>
    </xf>
    <xf numFmtId="0" fontId="119" fillId="0" borderId="41" xfId="0" applyFont="1" applyFill="1" applyBorder="1" applyAlignment="1">
      <alignment horizontal="left" vertical="center"/>
    </xf>
    <xf numFmtId="0" fontId="0" fillId="0" borderId="0" xfId="0" applyAlignment="1">
      <alignment horizontal="center" vertical="center"/>
    </xf>
    <xf numFmtId="0" fontId="0" fillId="0" borderId="0" xfId="0" applyFill="1" applyAlignment="1">
      <alignment horizontal="center" vertical="center"/>
    </xf>
    <xf numFmtId="0" fontId="0" fillId="4" borderId="0" xfId="0" applyFill="1" applyAlignment="1">
      <alignment horizontal="center" vertical="center"/>
    </xf>
    <xf numFmtId="0" fontId="120" fillId="0" borderId="0" xfId="0" applyFont="1" applyAlignment="1">
      <alignment vertical="center"/>
    </xf>
    <xf numFmtId="0" fontId="6" fillId="0" borderId="1" xfId="0" applyFont="1" applyFill="1" applyBorder="1" applyAlignment="1">
      <alignment horizontal="center" vertical="center" wrapText="1"/>
    </xf>
    <xf numFmtId="58" fontId="12" fillId="0" borderId="1" xfId="0" applyNumberFormat="1" applyFont="1" applyFill="1" applyBorder="1" applyAlignment="1">
      <alignment horizontal="center" vertical="center"/>
    </xf>
    <xf numFmtId="0" fontId="12" fillId="0" borderId="1" xfId="0" applyFont="1" applyFill="1" applyBorder="1" applyAlignment="1">
      <alignment horizontal="left" vertical="center"/>
    </xf>
    <xf numFmtId="0" fontId="12" fillId="0" borderId="1" xfId="0" applyFont="1" applyFill="1" applyBorder="1" applyAlignment="1">
      <alignment horizontal="center" vertical="center"/>
    </xf>
    <xf numFmtId="0" fontId="12" fillId="0" borderId="1" xfId="0" applyFont="1" applyFill="1" applyBorder="1" applyAlignment="1">
      <alignment horizontal="center" vertical="center" wrapText="1"/>
    </xf>
    <xf numFmtId="0" fontId="120" fillId="0" borderId="0" xfId="0" applyFont="1" applyAlignment="1">
      <alignment horizontal="center" vertical="center"/>
    </xf>
    <xf numFmtId="0" fontId="121" fillId="0" borderId="0" xfId="0" applyFont="1" applyAlignment="1">
      <alignment horizontal="center" vertical="center"/>
    </xf>
    <xf numFmtId="0" fontId="121" fillId="2" borderId="1" xfId="0" applyFont="1" applyFill="1" applyBorder="1" applyAlignment="1">
      <alignment horizontal="center" vertical="center" wrapText="1"/>
    </xf>
    <xf numFmtId="0" fontId="122" fillId="2" borderId="1" xfId="0" applyFont="1" applyFill="1" applyBorder="1" applyAlignment="1">
      <alignment horizontal="center" vertical="center" wrapText="1"/>
    </xf>
    <xf numFmtId="0" fontId="123" fillId="0" borderId="1" xfId="0" applyFont="1" applyFill="1" applyBorder="1" applyAlignment="1">
      <alignment horizontal="center" vertical="center"/>
    </xf>
    <xf numFmtId="0" fontId="124" fillId="2" borderId="1" xfId="0" applyFont="1" applyFill="1" applyBorder="1" applyAlignment="1">
      <alignment horizontal="center" vertical="center" wrapText="1"/>
    </xf>
    <xf numFmtId="0" fontId="121" fillId="2" borderId="1" xfId="0" applyFont="1" applyFill="1" applyBorder="1" applyAlignment="1">
      <alignment horizontal="center" vertical="center"/>
    </xf>
    <xf numFmtId="0" fontId="121" fillId="4" borderId="1" xfId="0" applyFont="1" applyFill="1" applyBorder="1" applyAlignment="1">
      <alignment horizontal="center" vertical="center" wrapText="1"/>
    </xf>
    <xf numFmtId="0" fontId="125" fillId="18" borderId="1" xfId="0" applyFont="1" applyFill="1" applyBorder="1" applyAlignment="1">
      <alignment horizontal="center" vertical="center" wrapText="1"/>
    </xf>
    <xf numFmtId="0" fontId="122" fillId="0" borderId="1" xfId="0" applyFont="1" applyFill="1" applyBorder="1" applyAlignment="1">
      <alignment horizontal="center" vertical="center" wrapText="1"/>
    </xf>
    <xf numFmtId="0" fontId="121" fillId="0" borderId="1" xfId="0" applyFont="1" applyFill="1" applyBorder="1" applyAlignment="1">
      <alignment horizontal="center" vertical="center"/>
    </xf>
    <xf numFmtId="0" fontId="123" fillId="0" borderId="1" xfId="0" applyFont="1" applyFill="1" applyBorder="1" applyAlignment="1">
      <alignment horizontal="left"/>
    </xf>
    <xf numFmtId="0" fontId="123" fillId="0" borderId="1" xfId="0" applyFont="1" applyFill="1" applyBorder="1" applyAlignment="1">
      <alignment horizontal="left" vertical="center" wrapText="1"/>
    </xf>
    <xf numFmtId="49" fontId="126" fillId="0" borderId="1" xfId="0" applyNumberFormat="1" applyFont="1" applyFill="1" applyBorder="1" applyAlignment="1">
      <alignment horizontal="left" vertical="center" wrapText="1"/>
    </xf>
    <xf numFmtId="58" fontId="12" fillId="4" borderId="1" xfId="0" applyNumberFormat="1" applyFont="1" applyFill="1" applyBorder="1" applyAlignment="1">
      <alignment horizontal="center" vertical="center"/>
    </xf>
    <xf numFmtId="0" fontId="12" fillId="4" borderId="1" xfId="0" applyFont="1" applyFill="1" applyBorder="1" applyAlignment="1">
      <alignment horizontal="left" vertical="center"/>
    </xf>
    <xf numFmtId="0" fontId="12" fillId="4" borderId="1" xfId="0" applyFont="1" applyFill="1" applyBorder="1" applyAlignment="1">
      <alignment horizontal="center" vertical="center" wrapText="1"/>
    </xf>
    <xf numFmtId="0" fontId="12" fillId="4" borderId="1" xfId="0" applyFont="1" applyFill="1" applyBorder="1" applyAlignment="1">
      <alignment horizontal="center" vertical="center"/>
    </xf>
    <xf numFmtId="58" fontId="127" fillId="0" borderId="1" xfId="0" applyNumberFormat="1" applyFont="1" applyFill="1" applyBorder="1" applyAlignment="1">
      <alignment horizontal="center" vertical="center"/>
    </xf>
    <xf numFmtId="0" fontId="127" fillId="0" borderId="1" xfId="0" applyFont="1" applyFill="1" applyBorder="1" applyAlignment="1">
      <alignment horizontal="center" vertical="center"/>
    </xf>
    <xf numFmtId="0" fontId="127" fillId="19" borderId="1" xfId="0" applyFont="1" applyFill="1" applyBorder="1" applyAlignment="1">
      <alignment horizontal="center" vertical="center"/>
    </xf>
    <xf numFmtId="0" fontId="127" fillId="0" borderId="1" xfId="0" applyFont="1" applyFill="1" applyBorder="1" applyAlignment="1">
      <alignment horizontal="center"/>
    </xf>
    <xf numFmtId="0" fontId="128" fillId="20" borderId="23" xfId="0" applyFont="1" applyFill="1" applyBorder="1" applyAlignment="1">
      <alignment horizontal="center" vertical="center" wrapText="1"/>
    </xf>
    <xf numFmtId="0" fontId="128" fillId="20" borderId="38" xfId="0" applyFont="1" applyFill="1" applyBorder="1" applyAlignment="1">
      <alignment horizontal="center" vertical="center" wrapText="1"/>
    </xf>
    <xf numFmtId="0" fontId="128" fillId="20" borderId="37" xfId="0" applyFont="1" applyFill="1" applyBorder="1" applyAlignment="1">
      <alignment horizontal="center" vertical="center" wrapText="1"/>
    </xf>
    <xf numFmtId="0" fontId="128" fillId="0" borderId="23" xfId="0" applyFont="1" applyFill="1" applyBorder="1" applyAlignment="1">
      <alignment vertical="center" wrapText="1"/>
    </xf>
    <xf numFmtId="0" fontId="128" fillId="0" borderId="38" xfId="0" applyFont="1" applyFill="1" applyBorder="1" applyAlignment="1">
      <alignment vertical="center" wrapText="1"/>
    </xf>
    <xf numFmtId="0" fontId="128" fillId="0" borderId="37" xfId="0" applyFont="1" applyFill="1" applyBorder="1" applyAlignment="1">
      <alignment vertical="center" wrapText="1"/>
    </xf>
    <xf numFmtId="0" fontId="128" fillId="0" borderId="0" xfId="0" applyFont="1" applyFill="1" applyAlignment="1">
      <alignment vertical="center"/>
    </xf>
    <xf numFmtId="0" fontId="128" fillId="0" borderId="0" xfId="0" applyFont="1" applyFill="1" applyAlignment="1">
      <alignment vertical="center" wrapText="1"/>
    </xf>
    <xf numFmtId="0" fontId="128" fillId="0" borderId="23" xfId="0" applyFont="1" applyFill="1" applyBorder="1" applyAlignment="1">
      <alignment horizontal="center" vertical="center" wrapText="1"/>
    </xf>
    <xf numFmtId="0" fontId="128" fillId="0" borderId="38" xfId="0" applyFont="1" applyFill="1" applyBorder="1" applyAlignment="1">
      <alignment horizontal="center" vertical="center" wrapText="1"/>
    </xf>
    <xf numFmtId="0" fontId="128" fillId="0" borderId="37" xfId="0" applyFont="1" applyFill="1" applyBorder="1" applyAlignment="1">
      <alignment horizontal="center" vertical="center" wrapText="1"/>
    </xf>
    <xf numFmtId="0" fontId="123" fillId="4" borderId="1" xfId="0" applyFont="1" applyFill="1" applyBorder="1" applyAlignment="1">
      <alignment horizontal="center" vertical="center"/>
    </xf>
    <xf numFmtId="0" fontId="128" fillId="20" borderId="38" xfId="0" applyFont="1" applyFill="1" applyBorder="1" applyAlignment="1">
      <alignment vertical="center" wrapText="1"/>
    </xf>
    <xf numFmtId="3" fontId="1" fillId="20" borderId="1" xfId="0" applyNumberFormat="1" applyFont="1" applyFill="1" applyBorder="1" applyAlignment="1">
      <alignment horizontal="center" vertical="center"/>
    </xf>
    <xf numFmtId="0" fontId="0" fillId="0" borderId="0" xfId="0" applyFont="1" applyFill="1" applyAlignment="1">
      <alignment horizontal="center"/>
    </xf>
    <xf numFmtId="3" fontId="1" fillId="0" borderId="1" xfId="0" applyNumberFormat="1" applyFont="1" applyFill="1" applyBorder="1" applyAlignment="1">
      <alignment horizontal="center" vertical="center"/>
    </xf>
    <xf numFmtId="0" fontId="123" fillId="4" borderId="1" xfId="0" applyFont="1" applyFill="1" applyBorder="1" applyAlignment="1">
      <alignment horizontal="left" vertical="center" wrapText="1"/>
    </xf>
    <xf numFmtId="0" fontId="123" fillId="0" borderId="1" xfId="0" applyFont="1" applyFill="1" applyBorder="1" applyAlignment="1">
      <alignment horizontal="center"/>
    </xf>
    <xf numFmtId="3" fontId="123" fillId="0" borderId="1" xfId="0" applyNumberFormat="1" applyFont="1" applyFill="1" applyBorder="1" applyAlignment="1">
      <alignment horizontal="center" vertical="center"/>
    </xf>
    <xf numFmtId="0" fontId="123" fillId="0" borderId="0" xfId="0" applyFont="1" applyFill="1" applyAlignment="1">
      <alignment horizontal="center"/>
    </xf>
    <xf numFmtId="0" fontId="122" fillId="0" borderId="23" xfId="0" applyFont="1" applyFill="1" applyBorder="1" applyAlignment="1">
      <alignment horizontal="center" vertical="center" wrapText="1"/>
    </xf>
    <xf numFmtId="0" fontId="129" fillId="0" borderId="1" xfId="0" applyFont="1" applyFill="1" applyBorder="1" applyAlignment="1">
      <alignment horizontal="left" vertical="top" wrapText="1"/>
    </xf>
    <xf numFmtId="0" fontId="130" fillId="0" borderId="1" xfId="0" applyFont="1" applyFill="1" applyBorder="1" applyAlignment="1">
      <alignment horizontal="left" vertical="center" wrapText="1"/>
    </xf>
    <xf numFmtId="58" fontId="131" fillId="0" borderId="1" xfId="0" applyNumberFormat="1" applyFont="1" applyFill="1" applyBorder="1" applyAlignment="1">
      <alignment horizontal="center" vertical="center"/>
    </xf>
    <xf numFmtId="0" fontId="131" fillId="0" borderId="1" xfId="0" applyFont="1" applyFill="1" applyBorder="1" applyAlignment="1">
      <alignment horizontal="center" vertical="center"/>
    </xf>
    <xf numFmtId="0" fontId="131" fillId="0" borderId="1" xfId="0" applyFont="1" applyFill="1" applyBorder="1" applyAlignment="1">
      <alignment horizontal="center" vertical="center" wrapText="1"/>
    </xf>
    <xf numFmtId="0" fontId="128" fillId="0" borderId="0" xfId="0" applyFont="1" applyFill="1" applyAlignment="1">
      <alignment horizontal="center" vertical="center"/>
    </xf>
    <xf numFmtId="0" fontId="128" fillId="0" borderId="0" xfId="0" applyFont="1" applyFill="1" applyAlignment="1">
      <alignment horizontal="center" vertical="center" wrapText="1"/>
    </xf>
    <xf numFmtId="0" fontId="121" fillId="18" borderId="1" xfId="0" applyFont="1" applyFill="1" applyBorder="1" applyAlignment="1">
      <alignment horizontal="center" vertical="center" wrapText="1"/>
    </xf>
    <xf numFmtId="3" fontId="1" fillId="3" borderId="1" xfId="0" applyNumberFormat="1" applyFont="1" applyFill="1" applyBorder="1" applyAlignment="1">
      <alignment horizontal="center" vertical="center"/>
    </xf>
    <xf numFmtId="0" fontId="122" fillId="18" borderId="37" xfId="0" applyFont="1" applyFill="1" applyBorder="1" applyAlignment="1">
      <alignment horizontal="center" vertical="center" wrapText="1"/>
    </xf>
    <xf numFmtId="0" fontId="122" fillId="18" borderId="1" xfId="0" applyFont="1" applyFill="1" applyBorder="1" applyAlignment="1">
      <alignment horizontal="center" vertical="center" wrapText="1"/>
    </xf>
    <xf numFmtId="0" fontId="121" fillId="0" borderId="1" xfId="0" applyFont="1" applyFill="1" applyBorder="1" applyAlignment="1">
      <alignment horizontal="center" vertical="center" wrapText="1"/>
    </xf>
    <xf numFmtId="3" fontId="132" fillId="21" borderId="1" xfId="0" applyNumberFormat="1" applyFont="1" applyFill="1" applyBorder="1" applyAlignment="1">
      <alignment horizontal="center" vertical="center"/>
    </xf>
    <xf numFmtId="0" fontId="133" fillId="0" borderId="0" xfId="0" applyFont="1" applyFill="1" applyProtection="1">
      <alignment vertical="center"/>
      <protection locked="0"/>
    </xf>
    <xf numFmtId="0" fontId="18" fillId="0" borderId="1" xfId="0" applyFont="1" applyFill="1" applyBorder="1" applyAlignment="1" applyProtection="1">
      <alignment horizontal="center" vertical="center"/>
      <protection locked="0"/>
    </xf>
    <xf numFmtId="0" fontId="134" fillId="0" borderId="1" xfId="0" applyFont="1" applyFill="1" applyBorder="1" applyAlignment="1" applyProtection="1">
      <alignment horizontal="center" vertical="center"/>
      <protection locked="0"/>
    </xf>
    <xf numFmtId="0" fontId="135" fillId="0" borderId="1" xfId="0" applyFont="1" applyFill="1" applyBorder="1" applyAlignment="1" applyProtection="1">
      <alignment horizontal="center" vertical="center"/>
      <protection locked="0"/>
    </xf>
    <xf numFmtId="0" fontId="5" fillId="0" borderId="1" xfId="0" applyFont="1" applyFill="1" applyBorder="1" applyAlignment="1" applyProtection="1">
      <alignment horizontal="center" vertical="center"/>
      <protection locked="0"/>
    </xf>
    <xf numFmtId="0" fontId="5" fillId="3" borderId="1" xfId="0" applyFont="1" applyFill="1" applyBorder="1" applyAlignment="1" applyProtection="1">
      <alignment horizontal="center" vertical="center"/>
      <protection locked="0"/>
    </xf>
    <xf numFmtId="0" fontId="5" fillId="4" borderId="1" xfId="0" applyFont="1" applyFill="1" applyBorder="1" applyAlignment="1" applyProtection="1">
      <alignment horizontal="center" vertical="center"/>
      <protection locked="0"/>
    </xf>
    <xf numFmtId="0" fontId="136" fillId="0" borderId="1" xfId="0" applyFont="1" applyFill="1" applyBorder="1" applyAlignment="1" applyProtection="1">
      <alignment horizontal="center" vertical="center"/>
      <protection locked="0"/>
    </xf>
    <xf numFmtId="0" fontId="37" fillId="0" borderId="1" xfId="0" applyFont="1" applyFill="1" applyBorder="1" applyAlignment="1" applyProtection="1">
      <alignment horizontal="center" vertical="center"/>
      <protection locked="0"/>
    </xf>
    <xf numFmtId="0" fontId="0" fillId="0" borderId="0" xfId="0" applyFill="1" applyProtection="1">
      <alignment vertical="center"/>
      <protection locked="0"/>
    </xf>
    <xf numFmtId="176" fontId="0" fillId="0" borderId="0" xfId="0" applyNumberFormat="1" applyFill="1" applyProtection="1">
      <alignment vertical="center"/>
    </xf>
    <xf numFmtId="0" fontId="0" fillId="0" borderId="0" xfId="0" applyFill="1" applyAlignment="1" applyProtection="1">
      <alignment vertical="center" wrapText="1"/>
      <protection locked="0"/>
    </xf>
    <xf numFmtId="178" fontId="0" fillId="0" borderId="0" xfId="0" applyNumberFormat="1" applyFill="1" applyAlignment="1" applyProtection="1">
      <alignment vertical="center" wrapText="1"/>
      <protection locked="0"/>
    </xf>
    <xf numFmtId="179" fontId="0" fillId="0" borderId="0" xfId="0" applyNumberFormat="1" applyFill="1" applyAlignment="1" applyProtection="1">
      <alignment vertical="center" wrapText="1"/>
      <protection locked="0"/>
    </xf>
    <xf numFmtId="0" fontId="136" fillId="0" borderId="0" xfId="0" applyFont="1" applyFill="1" applyProtection="1">
      <alignment vertical="center"/>
      <protection locked="0"/>
    </xf>
    <xf numFmtId="0" fontId="136" fillId="0" borderId="0" xfId="0" applyFont="1" applyFill="1" applyAlignment="1" applyProtection="1">
      <alignment horizontal="center" vertical="center" wrapText="1"/>
      <protection locked="0"/>
    </xf>
    <xf numFmtId="0" fontId="136" fillId="0" borderId="0" xfId="0" applyFont="1" applyFill="1" applyAlignment="1" applyProtection="1">
      <alignment horizontal="center" vertical="center"/>
      <protection locked="0"/>
    </xf>
    <xf numFmtId="0" fontId="137" fillId="0" borderId="0" xfId="0" applyNumberFormat="1" applyFont="1" applyFill="1" applyAlignment="1" applyProtection="1">
      <alignment horizontal="center" vertical="center"/>
      <protection locked="0"/>
    </xf>
    <xf numFmtId="0" fontId="137" fillId="0" borderId="0" xfId="0" applyFont="1" applyFill="1" applyProtection="1">
      <alignment vertical="center"/>
      <protection locked="0"/>
    </xf>
    <xf numFmtId="0" fontId="138" fillId="0" borderId="0" xfId="0" applyFont="1" applyFill="1" applyProtection="1">
      <alignment vertical="center"/>
      <protection locked="0"/>
    </xf>
    <xf numFmtId="187" fontId="0" fillId="0" borderId="0" xfId="0" applyNumberFormat="1" applyFill="1" applyProtection="1">
      <alignment vertical="center"/>
      <protection locked="0"/>
    </xf>
    <xf numFmtId="176" fontId="139" fillId="0" borderId="1" xfId="0" applyNumberFormat="1" applyFont="1" applyFill="1" applyBorder="1" applyAlignment="1" applyProtection="1">
      <alignment horizontal="center" vertical="center" wrapText="1" shrinkToFit="1"/>
    </xf>
    <xf numFmtId="0" fontId="139" fillId="0" borderId="1" xfId="0" applyFont="1" applyFill="1" applyBorder="1" applyAlignment="1" applyProtection="1">
      <alignment horizontal="center" vertical="center" wrapText="1" shrinkToFit="1"/>
      <protection locked="0"/>
    </xf>
    <xf numFmtId="49" fontId="139" fillId="0" borderId="1" xfId="0" applyNumberFormat="1" applyFont="1" applyFill="1" applyBorder="1" applyAlignment="1" applyProtection="1">
      <alignment horizontal="center" vertical="center" wrapText="1" shrinkToFit="1"/>
      <protection locked="0"/>
    </xf>
    <xf numFmtId="177" fontId="140" fillId="0" borderId="3" xfId="0" applyNumberFormat="1" applyFont="1" applyFill="1" applyBorder="1" applyAlignment="1" applyProtection="1">
      <alignment horizontal="center" vertical="center" wrapText="1" shrinkToFit="1"/>
    </xf>
    <xf numFmtId="0" fontId="141" fillId="0" borderId="3" xfId="0" applyNumberFormat="1" applyFont="1" applyFill="1" applyBorder="1" applyAlignment="1" applyProtection="1">
      <alignment horizontal="center" vertical="center" wrapText="1"/>
      <protection locked="0"/>
    </xf>
    <xf numFmtId="184" fontId="141" fillId="0" borderId="3" xfId="0" applyNumberFormat="1" applyFont="1" applyFill="1" applyBorder="1" applyAlignment="1" applyProtection="1">
      <alignment horizontal="center" vertical="center" wrapText="1"/>
      <protection locked="0"/>
    </xf>
    <xf numFmtId="0" fontId="142" fillId="0" borderId="3" xfId="0" applyNumberFormat="1" applyFont="1" applyFill="1" applyBorder="1" applyAlignment="1" applyProtection="1">
      <alignment horizontal="center" vertical="center" shrinkToFit="1"/>
      <protection locked="0"/>
    </xf>
    <xf numFmtId="0" fontId="143" fillId="0" borderId="3" xfId="0" applyNumberFormat="1" applyFont="1" applyFill="1" applyBorder="1" applyAlignment="1" applyProtection="1">
      <alignment horizontal="center" vertical="center" shrinkToFit="1"/>
      <protection locked="0"/>
    </xf>
    <xf numFmtId="0" fontId="18" fillId="0" borderId="1" xfId="0" applyFont="1" applyFill="1" applyBorder="1" applyAlignment="1" applyProtection="1">
      <alignment horizontal="center" vertical="center" wrapText="1" shrinkToFit="1"/>
      <protection locked="0"/>
    </xf>
    <xf numFmtId="0" fontId="140" fillId="0" borderId="3" xfId="0" applyFont="1" applyFill="1" applyBorder="1" applyAlignment="1" applyProtection="1">
      <alignment horizontal="center" vertical="center" wrapText="1"/>
      <protection locked="0"/>
    </xf>
    <xf numFmtId="0" fontId="144" fillId="0" borderId="3" xfId="0" applyFont="1" applyFill="1" applyBorder="1" applyAlignment="1" applyProtection="1">
      <alignment horizontal="center" vertical="center" wrapText="1"/>
      <protection locked="0"/>
    </xf>
    <xf numFmtId="0" fontId="140" fillId="0" borderId="3" xfId="0" applyFont="1" applyFill="1" applyBorder="1" applyAlignment="1" applyProtection="1">
      <alignment horizontal="center" vertical="center"/>
      <protection locked="0"/>
    </xf>
    <xf numFmtId="177" fontId="145" fillId="0" borderId="3" xfId="0" applyNumberFormat="1" applyFont="1" applyFill="1" applyBorder="1" applyAlignment="1" applyProtection="1">
      <alignment horizontal="center" vertical="center" wrapText="1" shrinkToFit="1"/>
    </xf>
    <xf numFmtId="0" fontId="145" fillId="0" borderId="3" xfId="0" applyFont="1" applyFill="1" applyBorder="1" applyAlignment="1" applyProtection="1">
      <alignment horizontal="center" vertical="center" wrapText="1"/>
      <protection locked="0"/>
    </xf>
    <xf numFmtId="0" fontId="146" fillId="0" borderId="1" xfId="0" applyFont="1" applyFill="1" applyBorder="1" applyAlignment="1" applyProtection="1">
      <alignment horizontal="center" vertical="center" wrapText="1"/>
      <protection locked="0"/>
    </xf>
    <xf numFmtId="0" fontId="145" fillId="0" borderId="3" xfId="0" applyFont="1" applyFill="1" applyBorder="1" applyAlignment="1" applyProtection="1">
      <alignment horizontal="center" vertical="center"/>
      <protection locked="0"/>
    </xf>
    <xf numFmtId="0" fontId="134" fillId="0" borderId="1" xfId="0" applyFont="1" applyFill="1" applyBorder="1" applyAlignment="1" applyProtection="1">
      <alignment horizontal="center" vertical="center" wrapText="1" shrinkToFit="1"/>
      <protection locked="0"/>
    </xf>
    <xf numFmtId="0" fontId="146" fillId="0" borderId="3" xfId="0" applyFont="1" applyFill="1" applyBorder="1" applyAlignment="1" applyProtection="1">
      <alignment horizontal="center" vertical="center" wrapText="1"/>
      <protection locked="0"/>
    </xf>
    <xf numFmtId="177" fontId="139" fillId="0" borderId="1" xfId="0" applyNumberFormat="1" applyFont="1" applyFill="1" applyBorder="1" applyAlignment="1" applyProtection="1">
      <alignment horizontal="center" vertical="center" wrapText="1" shrinkToFit="1"/>
      <protection locked="0"/>
    </xf>
    <xf numFmtId="0" fontId="139" fillId="0" borderId="1" xfId="0" applyNumberFormat="1" applyFont="1" applyFill="1" applyBorder="1" applyAlignment="1" applyProtection="1">
      <alignment horizontal="center" vertical="center" wrapText="1" shrinkToFit="1"/>
      <protection locked="0"/>
    </xf>
    <xf numFmtId="180" fontId="18" fillId="0" borderId="1" xfId="0" applyNumberFormat="1" applyFont="1" applyFill="1" applyBorder="1" applyAlignment="1" applyProtection="1">
      <alignment horizontal="center" vertical="center" wrapText="1" shrinkToFit="1"/>
      <protection locked="0"/>
    </xf>
    <xf numFmtId="177" fontId="18" fillId="0" borderId="1" xfId="0" applyNumberFormat="1" applyFont="1" applyFill="1" applyBorder="1" applyAlignment="1" applyProtection="1">
      <alignment horizontal="center" vertical="center" wrapText="1" shrinkToFit="1"/>
      <protection locked="0"/>
    </xf>
    <xf numFmtId="0" fontId="18" fillId="0" borderId="1" xfId="0" applyNumberFormat="1" applyFont="1" applyFill="1" applyBorder="1" applyAlignment="1" applyProtection="1">
      <alignment horizontal="center" vertical="center" wrapText="1" shrinkToFit="1"/>
      <protection locked="0"/>
    </xf>
    <xf numFmtId="181" fontId="147" fillId="0" borderId="1" xfId="0" applyNumberFormat="1" applyFont="1" applyFill="1" applyBorder="1" applyAlignment="1" applyProtection="1">
      <alignment horizontal="center" vertical="center" wrapText="1"/>
      <protection locked="0"/>
    </xf>
    <xf numFmtId="58" fontId="18" fillId="0" borderId="1" xfId="0" applyNumberFormat="1" applyFont="1" applyFill="1" applyBorder="1" applyAlignment="1" applyProtection="1">
      <alignment horizontal="center" vertical="center" wrapText="1" shrinkToFit="1"/>
      <protection locked="0"/>
    </xf>
    <xf numFmtId="180" fontId="134" fillId="0" borderId="1" xfId="0" applyNumberFormat="1" applyFont="1" applyFill="1" applyBorder="1" applyAlignment="1" applyProtection="1">
      <alignment horizontal="center" vertical="center" wrapText="1" shrinkToFit="1"/>
      <protection locked="0"/>
    </xf>
    <xf numFmtId="177" fontId="134" fillId="0" borderId="1" xfId="0" applyNumberFormat="1" applyFont="1" applyFill="1" applyBorder="1" applyAlignment="1" applyProtection="1">
      <alignment horizontal="center" vertical="center" wrapText="1" shrinkToFit="1"/>
      <protection locked="0"/>
    </xf>
    <xf numFmtId="58" fontId="134" fillId="0" borderId="1" xfId="0" applyNumberFormat="1" applyFont="1" applyFill="1" applyBorder="1" applyAlignment="1" applyProtection="1">
      <alignment horizontal="center" vertical="center" wrapText="1" shrinkToFit="1"/>
      <protection locked="0"/>
    </xf>
    <xf numFmtId="0" fontId="134" fillId="0" borderId="1" xfId="0" applyNumberFormat="1" applyFont="1" applyFill="1" applyBorder="1" applyAlignment="1" applyProtection="1">
      <alignment horizontal="center" vertical="center" wrapText="1" shrinkToFit="1"/>
      <protection locked="0"/>
    </xf>
    <xf numFmtId="181" fontId="139" fillId="0" borderId="1" xfId="0" applyNumberFormat="1" applyFont="1" applyFill="1" applyBorder="1" applyAlignment="1" applyProtection="1">
      <alignment horizontal="center" vertical="center" wrapText="1" shrinkToFit="1"/>
      <protection locked="0"/>
    </xf>
    <xf numFmtId="0" fontId="148" fillId="0" borderId="1" xfId="0" applyFont="1" applyFill="1" applyBorder="1" applyAlignment="1" applyProtection="1">
      <alignment horizontal="center" vertical="center"/>
      <protection locked="0"/>
    </xf>
    <xf numFmtId="178" fontId="149" fillId="0" borderId="1" xfId="0" applyNumberFormat="1" applyFont="1" applyFill="1" applyBorder="1" applyAlignment="1" applyProtection="1">
      <alignment horizontal="center" vertical="center" wrapText="1" shrinkToFit="1"/>
      <protection locked="0"/>
    </xf>
    <xf numFmtId="179" fontId="149" fillId="0" borderId="1" xfId="0" applyNumberFormat="1" applyFont="1" applyFill="1" applyBorder="1" applyAlignment="1" applyProtection="1">
      <alignment horizontal="center" vertical="center" wrapText="1" shrinkToFit="1"/>
      <protection locked="0"/>
    </xf>
    <xf numFmtId="181" fontId="18" fillId="0" borderId="2" xfId="0" applyNumberFormat="1" applyFont="1" applyFill="1" applyBorder="1" applyAlignment="1" applyProtection="1">
      <alignment horizontal="center" vertical="center" wrapText="1" shrinkToFit="1"/>
      <protection locked="0"/>
    </xf>
    <xf numFmtId="0" fontId="18" fillId="0" borderId="1" xfId="0" applyFont="1" applyFill="1" applyBorder="1" applyAlignment="1" applyProtection="1">
      <alignment horizontal="center" vertical="center" wrapText="1"/>
      <protection locked="0"/>
    </xf>
    <xf numFmtId="177" fontId="18" fillId="0" borderId="5" xfId="0" applyNumberFormat="1" applyFont="1" applyFill="1" applyBorder="1" applyAlignment="1" applyProtection="1">
      <alignment horizontal="center" vertical="center" wrapText="1" shrinkToFit="1"/>
      <protection locked="0"/>
    </xf>
    <xf numFmtId="186" fontId="18" fillId="0" borderId="1" xfId="0" applyNumberFormat="1" applyFont="1" applyFill="1" applyBorder="1" applyAlignment="1" applyProtection="1">
      <alignment horizontal="center" vertical="center" wrapText="1"/>
      <protection locked="0"/>
    </xf>
    <xf numFmtId="179" fontId="18" fillId="0" borderId="1" xfId="0" applyNumberFormat="1" applyFont="1" applyFill="1" applyBorder="1" applyAlignment="1" applyProtection="1">
      <alignment horizontal="center" vertical="center" wrapText="1" shrinkToFit="1"/>
      <protection locked="0"/>
    </xf>
    <xf numFmtId="181" fontId="136" fillId="0" borderId="2" xfId="0" applyNumberFormat="1" applyFont="1" applyFill="1" applyBorder="1" applyAlignment="1" applyProtection="1">
      <alignment horizontal="center" vertical="center" wrapText="1" shrinkToFit="1"/>
      <protection locked="0"/>
    </xf>
    <xf numFmtId="0" fontId="150" fillId="0" borderId="1" xfId="0" applyNumberFormat="1" applyFont="1" applyFill="1" applyBorder="1" applyAlignment="1" applyProtection="1">
      <alignment horizontal="center" vertical="center" wrapText="1"/>
      <protection locked="0"/>
    </xf>
    <xf numFmtId="181" fontId="134" fillId="0" borderId="2" xfId="0" applyNumberFormat="1" applyFont="1" applyFill="1" applyBorder="1" applyAlignment="1" applyProtection="1">
      <alignment horizontal="center" vertical="center" wrapText="1" shrinkToFit="1"/>
      <protection locked="0"/>
    </xf>
    <xf numFmtId="181" fontId="151" fillId="0" borderId="2" xfId="0" applyNumberFormat="1" applyFont="1" applyFill="1" applyBorder="1" applyAlignment="1" applyProtection="1">
      <alignment horizontal="center" vertical="center" wrapText="1" shrinkToFit="1"/>
      <protection locked="0"/>
    </xf>
    <xf numFmtId="0" fontId="152" fillId="0" borderId="1" xfId="0" applyNumberFormat="1" applyFont="1" applyFill="1" applyBorder="1" applyAlignment="1" applyProtection="1">
      <alignment horizontal="center" vertical="center" wrapText="1"/>
      <protection locked="0"/>
    </xf>
    <xf numFmtId="186" fontId="134" fillId="0" borderId="1" xfId="0" applyNumberFormat="1" applyFont="1" applyFill="1" applyBorder="1" applyAlignment="1" applyProtection="1">
      <alignment horizontal="center" vertical="center" wrapText="1"/>
      <protection locked="0"/>
    </xf>
    <xf numFmtId="179" fontId="134" fillId="0" borderId="1" xfId="0" applyNumberFormat="1" applyFont="1" applyFill="1" applyBorder="1" applyAlignment="1" applyProtection="1">
      <alignment horizontal="center" vertical="center" wrapText="1" shrinkToFit="1"/>
      <protection locked="0"/>
    </xf>
    <xf numFmtId="0" fontId="153" fillId="0" borderId="1" xfId="0" applyFont="1" applyFill="1" applyBorder="1" applyAlignment="1" applyProtection="1">
      <alignment horizontal="center" vertical="center" wrapText="1" shrinkToFit="1"/>
      <protection locked="0"/>
    </xf>
    <xf numFmtId="0" fontId="154" fillId="0" borderId="1" xfId="0" applyNumberFormat="1" applyFont="1" applyFill="1" applyBorder="1" applyAlignment="1" applyProtection="1">
      <alignment horizontal="center" vertical="center" wrapText="1" shrinkToFit="1"/>
      <protection locked="0"/>
    </xf>
    <xf numFmtId="0" fontId="154" fillId="0" borderId="1" xfId="0" applyFont="1" applyFill="1" applyBorder="1" applyAlignment="1" applyProtection="1">
      <alignment horizontal="center" vertical="center" wrapText="1" shrinkToFit="1"/>
      <protection locked="0"/>
    </xf>
    <xf numFmtId="0" fontId="18" fillId="0" borderId="3" xfId="0" applyFont="1" applyFill="1" applyBorder="1" applyAlignment="1" applyProtection="1">
      <alignment horizontal="center" vertical="center" wrapText="1" shrinkToFit="1"/>
      <protection locked="0"/>
    </xf>
    <xf numFmtId="0" fontId="18" fillId="0" borderId="2" xfId="0" applyFont="1" applyFill="1" applyBorder="1" applyAlignment="1" applyProtection="1">
      <alignment horizontal="center" vertical="center" wrapText="1" shrinkToFit="1"/>
      <protection locked="0"/>
    </xf>
    <xf numFmtId="0" fontId="18" fillId="0" borderId="2" xfId="0" applyFont="1" applyFill="1" applyBorder="1" applyAlignment="1" applyProtection="1">
      <alignment vertical="center" wrapText="1" shrinkToFit="1"/>
      <protection locked="0"/>
    </xf>
    <xf numFmtId="0" fontId="134" fillId="0" borderId="3" xfId="0" applyFont="1" applyFill="1" applyBorder="1" applyAlignment="1" applyProtection="1">
      <alignment horizontal="center" vertical="center" wrapText="1" shrinkToFit="1"/>
      <protection locked="0"/>
    </xf>
    <xf numFmtId="0" fontId="134" fillId="0" borderId="2" xfId="0" applyFont="1" applyFill="1" applyBorder="1" applyAlignment="1" applyProtection="1">
      <alignment horizontal="center" vertical="center" wrapText="1" shrinkToFit="1"/>
      <protection locked="0"/>
    </xf>
    <xf numFmtId="0" fontId="134" fillId="0" borderId="2" xfId="0" applyFont="1" applyFill="1" applyBorder="1" applyAlignment="1" applyProtection="1">
      <alignment vertical="center" wrapText="1" shrinkToFit="1"/>
      <protection locked="0"/>
    </xf>
    <xf numFmtId="0" fontId="155" fillId="0" borderId="1" xfId="0" applyFont="1" applyFill="1" applyBorder="1" applyAlignment="1" applyProtection="1">
      <alignment horizontal="center" vertical="center" wrapText="1" shrinkToFit="1"/>
      <protection locked="0"/>
    </xf>
    <xf numFmtId="0" fontId="148" fillId="0" borderId="1" xfId="0" applyFont="1" applyFill="1" applyBorder="1" applyAlignment="1" applyProtection="1">
      <alignment horizontal="center" vertical="center" wrapText="1"/>
      <protection locked="0"/>
    </xf>
    <xf numFmtId="0" fontId="156" fillId="0" borderId="1" xfId="0" applyFont="1" applyFill="1" applyBorder="1" applyAlignment="1" applyProtection="1">
      <alignment horizontal="center" vertical="center" wrapText="1"/>
      <protection locked="0"/>
    </xf>
    <xf numFmtId="0" fontId="157" fillId="0" borderId="1" xfId="0" applyFont="1" applyFill="1" applyBorder="1" applyAlignment="1" applyProtection="1">
      <alignment horizontal="center" vertical="center" wrapText="1"/>
      <protection locked="0"/>
    </xf>
    <xf numFmtId="0" fontId="18" fillId="0" borderId="4" xfId="0" applyFont="1" applyFill="1" applyBorder="1" applyAlignment="1" applyProtection="1">
      <alignment horizontal="center" vertical="center" wrapText="1" shrinkToFit="1"/>
      <protection locked="0"/>
    </xf>
    <xf numFmtId="0" fontId="158" fillId="0" borderId="1" xfId="0" applyFont="1" applyFill="1" applyBorder="1" applyAlignment="1" applyProtection="1">
      <alignment horizontal="center" vertical="center" wrapText="1"/>
      <protection locked="0"/>
    </xf>
    <xf numFmtId="0" fontId="139" fillId="0" borderId="1" xfId="0" applyFont="1" applyFill="1" applyBorder="1" applyAlignment="1" applyProtection="1">
      <alignment horizontal="center" vertical="center" wrapText="1"/>
      <protection locked="0"/>
    </xf>
    <xf numFmtId="0" fontId="20" fillId="0" borderId="1" xfId="0" applyFont="1" applyFill="1" applyBorder="1" applyAlignment="1" applyProtection="1">
      <alignment horizontal="center" vertical="center" wrapText="1" shrinkToFit="1"/>
      <protection locked="0"/>
    </xf>
    <xf numFmtId="0" fontId="153" fillId="0" borderId="1" xfId="0" applyFont="1" applyFill="1" applyBorder="1" applyAlignment="1" applyProtection="1">
      <alignment horizontal="center" vertical="center" wrapText="1"/>
      <protection locked="0"/>
    </xf>
    <xf numFmtId="0" fontId="159" fillId="0" borderId="1" xfId="0" applyFont="1" applyFill="1" applyBorder="1" applyAlignment="1" applyProtection="1">
      <alignment horizontal="center" vertical="center" wrapText="1"/>
      <protection locked="0"/>
    </xf>
    <xf numFmtId="0" fontId="133" fillId="0" borderId="0" xfId="0" applyFont="1" applyFill="1" applyAlignment="1" applyProtection="1">
      <alignment vertical="center" wrapText="1"/>
      <protection locked="0"/>
    </xf>
    <xf numFmtId="187" fontId="148" fillId="0" borderId="1" xfId="0" applyNumberFormat="1" applyFont="1" applyFill="1" applyBorder="1" applyAlignment="1" applyProtection="1">
      <alignment horizontal="center" vertical="center" wrapText="1"/>
      <protection locked="0"/>
    </xf>
    <xf numFmtId="187" fontId="18" fillId="0" borderId="1" xfId="0" applyNumberFormat="1" applyFont="1" applyFill="1" applyBorder="1" applyAlignment="1" applyProtection="1">
      <alignment horizontal="center" vertical="center"/>
      <protection locked="0"/>
    </xf>
    <xf numFmtId="187" fontId="37" fillId="0" borderId="1" xfId="0" applyNumberFormat="1" applyFont="1" applyFill="1" applyBorder="1" applyAlignment="1" applyProtection="1">
      <alignment horizontal="center" vertical="center"/>
      <protection locked="0"/>
    </xf>
    <xf numFmtId="187" fontId="153" fillId="0" borderId="1" xfId="0" applyNumberFormat="1" applyFont="1" applyFill="1" applyBorder="1" applyAlignment="1" applyProtection="1">
      <alignment horizontal="center" vertical="center" wrapText="1"/>
      <protection locked="0"/>
    </xf>
    <xf numFmtId="0" fontId="160" fillId="0" borderId="1" xfId="0" applyFont="1" applyFill="1" applyBorder="1" applyAlignment="1" applyProtection="1">
      <alignment horizontal="center" vertical="center"/>
      <protection locked="0"/>
    </xf>
    <xf numFmtId="187" fontId="134" fillId="0" borderId="1" xfId="0" applyNumberFormat="1" applyFont="1" applyFill="1" applyBorder="1" applyAlignment="1" applyProtection="1">
      <alignment horizontal="center" vertical="center"/>
      <protection locked="0"/>
    </xf>
    <xf numFmtId="187" fontId="148" fillId="0" borderId="1" xfId="0" applyNumberFormat="1" applyFont="1" applyFill="1" applyBorder="1" applyAlignment="1" applyProtection="1">
      <alignment horizontal="center" vertical="center"/>
      <protection locked="0"/>
    </xf>
    <xf numFmtId="0" fontId="161" fillId="0" borderId="1" xfId="0" applyFont="1" applyFill="1" applyBorder="1" applyAlignment="1" applyProtection="1">
      <alignment horizontal="center" vertical="center" wrapText="1" shrinkToFit="1"/>
      <protection locked="0"/>
    </xf>
    <xf numFmtId="0" fontId="5" fillId="0" borderId="2" xfId="0" applyFont="1" applyFill="1" applyBorder="1" applyAlignment="1" applyProtection="1">
      <alignment horizontal="center" vertical="center" wrapText="1" shrinkToFit="1"/>
      <protection locked="0"/>
    </xf>
    <xf numFmtId="176" fontId="134" fillId="0" borderId="2" xfId="0" applyNumberFormat="1" applyFont="1" applyFill="1" applyBorder="1" applyAlignment="1" applyProtection="1">
      <alignment vertical="center" wrapText="1" shrinkToFit="1"/>
      <protection locked="0"/>
    </xf>
    <xf numFmtId="0" fontId="142" fillId="0" borderId="1" xfId="0" applyFont="1" applyFill="1" applyBorder="1" applyAlignment="1" applyProtection="1">
      <alignment horizontal="center" vertical="center"/>
      <protection locked="0"/>
    </xf>
    <xf numFmtId="0" fontId="18" fillId="4" borderId="1" xfId="0" applyFont="1" applyFill="1" applyBorder="1" applyAlignment="1" applyProtection="1">
      <alignment horizontal="center" vertical="center" wrapText="1" shrinkToFit="1"/>
      <protection locked="0"/>
    </xf>
    <xf numFmtId="181" fontId="162" fillId="0" borderId="1" xfId="0" applyNumberFormat="1" applyFont="1" applyFill="1" applyBorder="1" applyAlignment="1" applyProtection="1">
      <alignment horizontal="center" vertical="center" wrapText="1"/>
      <protection locked="0"/>
    </xf>
    <xf numFmtId="0" fontId="163" fillId="0" borderId="1" xfId="0" applyFont="1" applyFill="1" applyBorder="1" applyAlignment="1" applyProtection="1">
      <alignment horizontal="center" vertical="center" wrapText="1" shrinkToFit="1"/>
      <protection locked="0"/>
    </xf>
    <xf numFmtId="0" fontId="164" fillId="0" borderId="37" xfId="0" applyFont="1" applyFill="1" applyBorder="1" applyAlignment="1" applyProtection="1">
      <alignment horizontal="center" vertical="center"/>
    </xf>
    <xf numFmtId="0" fontId="142" fillId="0" borderId="2" xfId="0" applyNumberFormat="1" applyFont="1" applyFill="1" applyBorder="1" applyAlignment="1" applyProtection="1">
      <alignment horizontal="center" vertical="center"/>
      <protection locked="0"/>
    </xf>
    <xf numFmtId="177" fontId="165" fillId="0" borderId="1" xfId="0" applyNumberFormat="1" applyFont="1" applyFill="1" applyBorder="1" applyAlignment="1" applyProtection="1">
      <alignment horizontal="center" vertical="center" wrapText="1" shrinkToFit="1"/>
    </xf>
    <xf numFmtId="0" fontId="165" fillId="0" borderId="1" xfId="0" applyFont="1" applyFill="1" applyBorder="1" applyAlignment="1" applyProtection="1">
      <alignment horizontal="center" vertical="center" wrapText="1"/>
      <protection locked="0"/>
    </xf>
    <xf numFmtId="0" fontId="166" fillId="0" borderId="1" xfId="0" applyFont="1" applyFill="1" applyBorder="1" applyAlignment="1" applyProtection="1">
      <alignment horizontal="center" vertical="center" wrapText="1" shrinkToFit="1"/>
      <protection locked="0"/>
    </xf>
    <xf numFmtId="0" fontId="167" fillId="0" borderId="2" xfId="0" applyNumberFormat="1" applyFont="1" applyFill="1" applyBorder="1" applyAlignment="1" applyProtection="1">
      <alignment horizontal="center" vertical="center" shrinkToFit="1"/>
      <protection locked="0"/>
    </xf>
    <xf numFmtId="0" fontId="165" fillId="0" borderId="1" xfId="0" applyFont="1" applyFill="1" applyBorder="1" applyAlignment="1" applyProtection="1">
      <alignment horizontal="center" vertical="center"/>
      <protection locked="0"/>
    </xf>
    <xf numFmtId="0" fontId="135" fillId="0" borderId="1" xfId="0" applyFont="1" applyFill="1" applyBorder="1" applyAlignment="1" applyProtection="1">
      <alignment horizontal="center" vertical="center" wrapText="1" shrinkToFit="1"/>
      <protection locked="0"/>
    </xf>
    <xf numFmtId="177" fontId="168" fillId="0" borderId="1" xfId="0" applyNumberFormat="1" applyFont="1" applyFill="1" applyBorder="1" applyAlignment="1" applyProtection="1">
      <alignment horizontal="center" vertical="center" wrapText="1" shrinkToFit="1"/>
    </xf>
    <xf numFmtId="0" fontId="168" fillId="0" borderId="1" xfId="0" applyFont="1" applyFill="1" applyBorder="1" applyAlignment="1" applyProtection="1">
      <alignment horizontal="center" vertical="center" wrapText="1"/>
      <protection locked="0"/>
    </xf>
    <xf numFmtId="0" fontId="169" fillId="0" borderId="1" xfId="0" applyFont="1" applyFill="1" applyBorder="1" applyAlignment="1" applyProtection="1">
      <alignment horizontal="center" vertical="center" wrapText="1" shrinkToFit="1"/>
      <protection locked="0"/>
    </xf>
    <xf numFmtId="0" fontId="170" fillId="0" borderId="2" xfId="0" applyNumberFormat="1" applyFont="1" applyFill="1" applyBorder="1" applyAlignment="1" applyProtection="1">
      <alignment horizontal="center" vertical="center" shrinkToFit="1"/>
      <protection locked="0"/>
    </xf>
    <xf numFmtId="0" fontId="168" fillId="0" borderId="1" xfId="0" applyFont="1" applyFill="1" applyBorder="1" applyAlignment="1" applyProtection="1">
      <alignment horizontal="center" vertical="center"/>
      <protection locked="0"/>
    </xf>
    <xf numFmtId="177" fontId="140" fillId="0" borderId="1" xfId="0" applyNumberFormat="1" applyFont="1" applyFill="1" applyBorder="1" applyAlignment="1" applyProtection="1">
      <alignment horizontal="center" vertical="center" wrapText="1" shrinkToFit="1"/>
    </xf>
    <xf numFmtId="0" fontId="140" fillId="0" borderId="1" xfId="0" applyFont="1" applyFill="1" applyBorder="1" applyAlignment="1" applyProtection="1">
      <alignment horizontal="center" vertical="center" wrapText="1"/>
      <protection locked="0"/>
    </xf>
    <xf numFmtId="0" fontId="136" fillId="0" borderId="1" xfId="0" applyFont="1" applyFill="1" applyBorder="1" applyAlignment="1" applyProtection="1">
      <alignment horizontal="center" vertical="center" wrapText="1" shrinkToFit="1"/>
      <protection locked="0"/>
    </xf>
    <xf numFmtId="0" fontId="142" fillId="0" borderId="2" xfId="0" applyNumberFormat="1" applyFont="1" applyFill="1" applyBorder="1" applyAlignment="1" applyProtection="1">
      <alignment horizontal="center" vertical="center" shrinkToFit="1"/>
      <protection locked="0"/>
    </xf>
    <xf numFmtId="0" fontId="140" fillId="0" borderId="1" xfId="0" applyFont="1" applyFill="1" applyBorder="1" applyAlignment="1" applyProtection="1">
      <alignment horizontal="center" vertical="center"/>
      <protection locked="0"/>
    </xf>
    <xf numFmtId="177" fontId="145" fillId="0" borderId="1" xfId="0" applyNumberFormat="1" applyFont="1" applyFill="1" applyBorder="1" applyAlignment="1" applyProtection="1">
      <alignment horizontal="center" vertical="center" wrapText="1" shrinkToFit="1"/>
    </xf>
    <xf numFmtId="0" fontId="145" fillId="0" borderId="1" xfId="0" applyFont="1" applyFill="1" applyBorder="1" applyAlignment="1" applyProtection="1">
      <alignment horizontal="center" vertical="center" wrapText="1"/>
      <protection locked="0"/>
    </xf>
    <xf numFmtId="0" fontId="151" fillId="0" borderId="1" xfId="0" applyFont="1" applyFill="1" applyBorder="1" applyAlignment="1" applyProtection="1">
      <alignment horizontal="center" vertical="center" wrapText="1" shrinkToFit="1"/>
      <protection locked="0"/>
    </xf>
    <xf numFmtId="0" fontId="171" fillId="0" borderId="2" xfId="0" applyNumberFormat="1" applyFont="1" applyFill="1" applyBorder="1" applyAlignment="1" applyProtection="1">
      <alignment horizontal="center" vertical="center" shrinkToFit="1"/>
      <protection locked="0"/>
    </xf>
    <xf numFmtId="0" fontId="145" fillId="0" borderId="1" xfId="0" applyFont="1" applyFill="1" applyBorder="1" applyAlignment="1" applyProtection="1">
      <alignment horizontal="center" vertical="center"/>
      <protection locked="0"/>
    </xf>
    <xf numFmtId="0" fontId="145" fillId="3" borderId="1" xfId="0" applyFont="1" applyFill="1" applyBorder="1" applyAlignment="1" applyProtection="1">
      <alignment horizontal="center" vertical="center" wrapText="1"/>
      <protection locked="0"/>
    </xf>
    <xf numFmtId="0" fontId="172" fillId="0" borderId="1" xfId="0" applyFont="1" applyFill="1" applyBorder="1" applyAlignment="1" applyProtection="1">
      <alignment horizontal="center" vertical="center" wrapText="1" shrinkToFit="1"/>
      <protection locked="0"/>
    </xf>
    <xf numFmtId="177" fontId="134" fillId="3" borderId="1" xfId="0" applyNumberFormat="1" applyFont="1" applyFill="1" applyBorder="1" applyAlignment="1" applyProtection="1">
      <alignment horizontal="center" vertical="center" wrapText="1" shrinkToFit="1"/>
      <protection locked="0"/>
    </xf>
    <xf numFmtId="180" fontId="135" fillId="0" borderId="1" xfId="0" applyNumberFormat="1" applyFont="1" applyFill="1" applyBorder="1" applyAlignment="1" applyProtection="1">
      <alignment horizontal="center" vertical="center" wrapText="1" shrinkToFit="1"/>
      <protection locked="0"/>
    </xf>
    <xf numFmtId="177" fontId="135" fillId="0" borderId="1" xfId="0" applyNumberFormat="1" applyFont="1" applyFill="1" applyBorder="1" applyAlignment="1" applyProtection="1">
      <alignment horizontal="center" vertical="center" wrapText="1" shrinkToFit="1"/>
      <protection locked="0"/>
    </xf>
    <xf numFmtId="58" fontId="135" fillId="4" borderId="1" xfId="0" applyNumberFormat="1" applyFont="1" applyFill="1" applyBorder="1" applyAlignment="1" applyProtection="1">
      <alignment horizontal="center" vertical="center" wrapText="1" shrinkToFit="1"/>
      <protection locked="0"/>
    </xf>
    <xf numFmtId="0" fontId="135" fillId="0" borderId="1" xfId="0" applyNumberFormat="1" applyFont="1" applyFill="1" applyBorder="1" applyAlignment="1" applyProtection="1">
      <alignment horizontal="center" vertical="center" wrapText="1" shrinkToFit="1"/>
      <protection locked="0"/>
    </xf>
    <xf numFmtId="180" fontId="5" fillId="0" borderId="1" xfId="0" applyNumberFormat="1" applyFont="1" applyFill="1" applyBorder="1" applyAlignment="1" applyProtection="1">
      <alignment horizontal="center" vertical="center" wrapText="1" shrinkToFit="1"/>
      <protection locked="0"/>
    </xf>
    <xf numFmtId="177" fontId="5" fillId="0" borderId="1" xfId="0" applyNumberFormat="1" applyFont="1" applyFill="1" applyBorder="1" applyAlignment="1" applyProtection="1">
      <alignment horizontal="center" vertical="center" wrapText="1" shrinkToFit="1"/>
      <protection locked="0"/>
    </xf>
    <xf numFmtId="0" fontId="5" fillId="0" borderId="1" xfId="0" applyNumberFormat="1" applyFont="1" applyFill="1" applyBorder="1" applyAlignment="1" applyProtection="1">
      <alignment horizontal="center" vertical="center" wrapText="1" shrinkToFit="1"/>
      <protection locked="0"/>
    </xf>
    <xf numFmtId="181" fontId="168" fillId="0" borderId="1" xfId="0" applyNumberFormat="1" applyFont="1" applyFill="1" applyBorder="1" applyAlignment="1" applyProtection="1">
      <alignment horizontal="center" vertical="center" wrapText="1"/>
      <protection locked="0"/>
    </xf>
    <xf numFmtId="181" fontId="165" fillId="0" borderId="1" xfId="0" applyNumberFormat="1" applyFont="1" applyFill="1" applyBorder="1" applyAlignment="1" applyProtection="1">
      <alignment horizontal="center" vertical="center" wrapText="1"/>
      <protection locked="0"/>
    </xf>
    <xf numFmtId="0" fontId="135" fillId="4" borderId="1" xfId="0" applyFont="1" applyFill="1" applyBorder="1" applyAlignment="1" applyProtection="1">
      <alignment horizontal="center" vertical="center" wrapText="1" shrinkToFit="1"/>
      <protection locked="0"/>
    </xf>
    <xf numFmtId="181" fontId="140" fillId="0" borderId="1" xfId="0" applyNumberFormat="1" applyFont="1" applyFill="1" applyBorder="1" applyAlignment="1" applyProtection="1">
      <alignment horizontal="center" vertical="center" wrapText="1"/>
      <protection locked="0"/>
    </xf>
    <xf numFmtId="181" fontId="145" fillId="0" borderId="1" xfId="0" applyNumberFormat="1" applyFont="1" applyFill="1" applyBorder="1" applyAlignment="1" applyProtection="1">
      <alignment horizontal="center" vertical="center" wrapText="1"/>
      <protection locked="0"/>
    </xf>
    <xf numFmtId="177" fontId="134" fillId="4" borderId="1" xfId="0" applyNumberFormat="1" applyFont="1" applyFill="1" applyBorder="1" applyAlignment="1" applyProtection="1">
      <alignment horizontal="center" vertical="center" wrapText="1" shrinkToFit="1"/>
      <protection locked="0"/>
    </xf>
    <xf numFmtId="0" fontId="173" fillId="0" borderId="0" xfId="0" applyFont="1" applyFill="1">
      <alignment vertical="center"/>
    </xf>
    <xf numFmtId="181" fontId="135" fillId="0" borderId="2" xfId="0" applyNumberFormat="1" applyFont="1" applyFill="1" applyBorder="1" applyAlignment="1" applyProtection="1">
      <alignment horizontal="center" vertical="center" wrapText="1" shrinkToFit="1"/>
      <protection locked="0"/>
    </xf>
    <xf numFmtId="181" fontId="135" fillId="0" borderId="1" xfId="0" applyNumberFormat="1" applyFont="1" applyFill="1" applyBorder="1" applyAlignment="1" applyProtection="1">
      <alignment horizontal="center" vertical="center" wrapText="1" shrinkToFit="1"/>
      <protection locked="0"/>
    </xf>
    <xf numFmtId="0" fontId="135" fillId="0" borderId="1" xfId="0" applyFont="1" applyFill="1" applyBorder="1" applyAlignment="1" applyProtection="1">
      <alignment horizontal="center" vertical="center" wrapText="1"/>
      <protection locked="0"/>
    </xf>
    <xf numFmtId="179" fontId="135" fillId="0" borderId="1" xfId="0" applyNumberFormat="1" applyFont="1" applyFill="1" applyBorder="1" applyAlignment="1" applyProtection="1">
      <alignment horizontal="center" vertical="center" wrapText="1" shrinkToFit="1"/>
      <protection locked="0"/>
    </xf>
    <xf numFmtId="181" fontId="5" fillId="0" borderId="1" xfId="0" applyNumberFormat="1" applyFont="1" applyFill="1" applyBorder="1" applyAlignment="1" applyProtection="1">
      <alignment horizontal="center" vertical="center" wrapText="1" shrinkToFit="1"/>
      <protection locked="0"/>
    </xf>
    <xf numFmtId="0" fontId="5" fillId="0" borderId="1" xfId="0" applyFont="1" applyFill="1" applyBorder="1" applyAlignment="1" applyProtection="1">
      <alignment horizontal="center" vertical="center" wrapText="1"/>
      <protection locked="0"/>
    </xf>
    <xf numFmtId="179" fontId="5" fillId="0" borderId="1" xfId="0" applyNumberFormat="1" applyFont="1" applyFill="1" applyBorder="1" applyAlignment="1" applyProtection="1">
      <alignment horizontal="center" vertical="center" wrapText="1" shrinkToFit="1"/>
      <protection locked="0"/>
    </xf>
    <xf numFmtId="186" fontId="135" fillId="0" borderId="1" xfId="0" applyNumberFormat="1" applyFont="1" applyFill="1" applyBorder="1" applyAlignment="1" applyProtection="1">
      <alignment horizontal="center" vertical="center" wrapText="1"/>
      <protection locked="0"/>
    </xf>
    <xf numFmtId="0" fontId="135" fillId="4" borderId="1" xfId="0" applyFont="1" applyFill="1" applyBorder="1" applyAlignment="1" applyProtection="1">
      <alignment horizontal="center" vertical="center" wrapText="1"/>
      <protection locked="0"/>
    </xf>
    <xf numFmtId="58" fontId="135" fillId="0" borderId="1" xfId="0" applyNumberFormat="1" applyFont="1" applyFill="1" applyBorder="1" applyAlignment="1" applyProtection="1">
      <alignment horizontal="center" vertical="center" wrapText="1" shrinkToFit="1"/>
      <protection locked="0"/>
    </xf>
    <xf numFmtId="181" fontId="18" fillId="0" borderId="1" xfId="0" applyNumberFormat="1" applyFont="1" applyFill="1" applyBorder="1" applyAlignment="1" applyProtection="1">
      <alignment horizontal="center" vertical="center" wrapText="1" shrinkToFit="1"/>
      <protection locked="0"/>
    </xf>
    <xf numFmtId="181" fontId="134" fillId="0" borderId="1" xfId="0" applyNumberFormat="1" applyFont="1" applyFill="1" applyBorder="1" applyAlignment="1" applyProtection="1">
      <alignment horizontal="center" vertical="center" wrapText="1" shrinkToFit="1"/>
      <protection locked="0"/>
    </xf>
    <xf numFmtId="0" fontId="134" fillId="0" borderId="1" xfId="0" applyFont="1" applyFill="1" applyBorder="1" applyAlignment="1" applyProtection="1">
      <alignment horizontal="center" vertical="center" wrapText="1"/>
      <protection locked="0"/>
    </xf>
    <xf numFmtId="0" fontId="134" fillId="4" borderId="1" xfId="0" applyFont="1" applyFill="1" applyBorder="1" applyAlignment="1" applyProtection="1">
      <alignment horizontal="center" vertical="center" wrapText="1"/>
      <protection locked="0"/>
    </xf>
    <xf numFmtId="181" fontId="134" fillId="0" borderId="0" xfId="0" applyNumberFormat="1" applyFont="1" applyFill="1" applyAlignment="1" applyProtection="1">
      <alignment horizontal="center" vertical="center" wrapText="1" shrinkToFit="1"/>
      <protection locked="0"/>
    </xf>
    <xf numFmtId="0" fontId="174" fillId="0" borderId="0" xfId="0" applyFont="1" applyFill="1">
      <alignment vertical="center"/>
    </xf>
    <xf numFmtId="0" fontId="174" fillId="0" borderId="0" xfId="0" applyFont="1" applyFill="1" applyAlignment="1">
      <alignment vertical="center" wrapText="1"/>
    </xf>
    <xf numFmtId="0" fontId="135" fillId="0" borderId="3" xfId="0" applyFont="1" applyFill="1" applyBorder="1" applyAlignment="1" applyProtection="1">
      <alignment horizontal="center" vertical="center" wrapText="1" shrinkToFit="1"/>
      <protection locked="0"/>
    </xf>
    <xf numFmtId="0" fontId="135" fillId="0" borderId="2" xfId="0" applyFont="1" applyFill="1" applyBorder="1" applyAlignment="1" applyProtection="1">
      <alignment horizontal="center" vertical="center" wrapText="1" shrinkToFit="1"/>
      <protection locked="0"/>
    </xf>
    <xf numFmtId="0" fontId="135" fillId="0" borderId="1" xfId="0" applyFont="1" applyFill="1" applyBorder="1" applyAlignment="1" applyProtection="1">
      <alignment vertical="center" wrapText="1" shrinkToFit="1"/>
      <protection locked="0"/>
    </xf>
    <xf numFmtId="0" fontId="5" fillId="0" borderId="3" xfId="0" applyFont="1" applyFill="1" applyBorder="1" applyAlignment="1" applyProtection="1">
      <alignment horizontal="center" vertical="center" wrapText="1" shrinkToFit="1"/>
      <protection locked="0"/>
    </xf>
    <xf numFmtId="0" fontId="5" fillId="0" borderId="1" xfId="0" applyFont="1" applyFill="1" applyBorder="1" applyAlignment="1" applyProtection="1">
      <alignment vertical="center" wrapText="1" shrinkToFit="1"/>
      <protection locked="0"/>
    </xf>
    <xf numFmtId="0" fontId="175" fillId="0" borderId="1" xfId="0" applyNumberFormat="1" applyFont="1" applyFill="1" applyBorder="1" applyAlignment="1" applyProtection="1">
      <alignment horizontal="center" vertical="center"/>
      <protection locked="0"/>
    </xf>
    <xf numFmtId="0" fontId="135" fillId="4" borderId="1" xfId="0" applyFont="1" applyFill="1" applyBorder="1" applyAlignment="1">
      <alignment horizontal="left" vertical="center" wrapText="1" shrinkToFit="1"/>
    </xf>
    <xf numFmtId="0" fontId="18" fillId="0" borderId="1" xfId="0" applyFont="1" applyFill="1" applyBorder="1" applyAlignment="1">
      <alignment horizontal="left" vertical="center" wrapText="1" shrinkToFit="1"/>
    </xf>
    <xf numFmtId="0" fontId="18" fillId="0" borderId="1" xfId="0" applyFont="1" applyFill="1" applyBorder="1" applyAlignment="1" applyProtection="1">
      <alignment vertical="center" wrapText="1" shrinkToFit="1"/>
      <protection locked="0"/>
    </xf>
    <xf numFmtId="0" fontId="134" fillId="0" borderId="1" xfId="0" applyFont="1" applyFill="1" applyBorder="1" applyAlignment="1" applyProtection="1">
      <alignment vertical="center" wrapText="1" shrinkToFit="1"/>
      <protection locked="0"/>
    </xf>
    <xf numFmtId="0" fontId="169" fillId="0" borderId="1" xfId="0" applyFont="1" applyFill="1" applyBorder="1" applyAlignment="1" applyProtection="1">
      <alignment horizontal="center" vertical="center"/>
      <protection locked="0"/>
    </xf>
    <xf numFmtId="0" fontId="166" fillId="0" borderId="1" xfId="0" applyFont="1" applyFill="1" applyBorder="1" applyAlignment="1" applyProtection="1">
      <alignment horizontal="center" vertical="center"/>
      <protection locked="0"/>
    </xf>
    <xf numFmtId="0" fontId="151" fillId="0" borderId="1" xfId="0" applyFont="1" applyFill="1" applyBorder="1" applyAlignment="1" applyProtection="1">
      <alignment horizontal="center" vertical="center"/>
      <protection locked="0"/>
    </xf>
    <xf numFmtId="0" fontId="135" fillId="3" borderId="1" xfId="0" applyFont="1" applyFill="1" applyBorder="1" applyAlignment="1" applyProtection="1">
      <alignment horizontal="center" vertical="center"/>
      <protection locked="0"/>
    </xf>
    <xf numFmtId="0" fontId="18" fillId="4" borderId="1" xfId="0" applyFont="1" applyFill="1" applyBorder="1" applyAlignment="1" applyProtection="1">
      <alignment horizontal="center" vertical="center"/>
      <protection locked="0"/>
    </xf>
    <xf numFmtId="0" fontId="134" fillId="3" borderId="1" xfId="0" applyFont="1" applyFill="1" applyBorder="1" applyAlignment="1" applyProtection="1">
      <alignment horizontal="center" vertical="center"/>
      <protection locked="0"/>
    </xf>
    <xf numFmtId="0" fontId="134" fillId="4" borderId="1" xfId="0" applyFont="1" applyFill="1" applyBorder="1" applyAlignment="1" applyProtection="1">
      <alignment horizontal="center" vertical="center"/>
      <protection locked="0"/>
    </xf>
    <xf numFmtId="187" fontId="135" fillId="0" borderId="1" xfId="0" applyNumberFormat="1" applyFont="1" applyFill="1" applyBorder="1" applyAlignment="1" applyProtection="1">
      <alignment horizontal="center" vertical="center"/>
      <protection locked="0"/>
    </xf>
    <xf numFmtId="0" fontId="168" fillId="4" borderId="1" xfId="0" applyFont="1" applyFill="1" applyBorder="1" applyAlignment="1" applyProtection="1">
      <alignment horizontal="center" vertical="center" wrapText="1"/>
      <protection locked="0"/>
    </xf>
    <xf numFmtId="177" fontId="168" fillId="3" borderId="1" xfId="0" applyNumberFormat="1" applyFont="1" applyFill="1" applyBorder="1" applyAlignment="1" applyProtection="1">
      <alignment horizontal="center" vertical="center" wrapText="1" shrinkToFit="1"/>
    </xf>
    <xf numFmtId="0" fontId="168" fillId="3" borderId="1" xfId="0" applyFont="1" applyFill="1" applyBorder="1" applyAlignment="1" applyProtection="1">
      <alignment horizontal="center" vertical="center" wrapText="1"/>
      <protection locked="0"/>
    </xf>
    <xf numFmtId="0" fontId="169" fillId="22" borderId="1" xfId="0" applyFont="1" applyFill="1" applyBorder="1" applyAlignment="1" applyProtection="1">
      <alignment horizontal="center" vertical="center" wrapText="1" shrinkToFit="1"/>
      <protection locked="0"/>
    </xf>
    <xf numFmtId="0" fontId="170" fillId="3" borderId="2" xfId="0" applyNumberFormat="1" applyFont="1" applyFill="1" applyBorder="1" applyAlignment="1" applyProtection="1">
      <alignment horizontal="center" vertical="center" shrinkToFit="1"/>
      <protection locked="0"/>
    </xf>
    <xf numFmtId="0" fontId="5" fillId="3" borderId="1" xfId="0" applyFont="1" applyFill="1" applyBorder="1" applyAlignment="1" applyProtection="1">
      <alignment horizontal="center" vertical="center" wrapText="1" shrinkToFit="1"/>
      <protection locked="0"/>
    </xf>
    <xf numFmtId="0" fontId="5" fillId="22" borderId="1" xfId="0" applyFont="1" applyFill="1" applyBorder="1" applyAlignment="1" applyProtection="1">
      <alignment horizontal="center" vertical="center" wrapText="1" shrinkToFit="1"/>
      <protection locked="0"/>
    </xf>
    <xf numFmtId="0" fontId="169" fillId="3" borderId="1" xfId="0" applyFont="1" applyFill="1" applyBorder="1" applyAlignment="1" applyProtection="1">
      <alignment horizontal="center" vertical="center" wrapText="1"/>
      <protection locked="0"/>
    </xf>
    <xf numFmtId="0" fontId="169" fillId="3" borderId="1" xfId="0" applyFont="1" applyFill="1" applyBorder="1" applyAlignment="1" applyProtection="1">
      <alignment horizontal="center" vertical="center" wrapText="1" shrinkToFit="1"/>
      <protection locked="0"/>
    </xf>
    <xf numFmtId="0" fontId="5" fillId="3" borderId="2" xfId="0" applyFont="1" applyFill="1" applyBorder="1" applyAlignment="1" applyProtection="1">
      <alignment horizontal="center" vertical="center"/>
      <protection locked="0"/>
    </xf>
    <xf numFmtId="0" fontId="136" fillId="0" borderId="1" xfId="0" applyFont="1" applyFill="1" applyBorder="1" applyAlignment="1" applyProtection="1">
      <alignment horizontal="center" vertical="center"/>
    </xf>
    <xf numFmtId="0" fontId="136" fillId="0" borderId="1" xfId="0" applyFont="1" applyFill="1" applyBorder="1" applyAlignment="1" applyProtection="1">
      <alignment horizontal="center" vertical="center" wrapText="1"/>
      <protection locked="0"/>
    </xf>
    <xf numFmtId="0" fontId="141" fillId="0" borderId="1" xfId="0" applyFont="1" applyFill="1" applyBorder="1" applyAlignment="1" applyProtection="1">
      <alignment horizontal="center" vertical="center" wrapText="1"/>
      <protection locked="0"/>
    </xf>
    <xf numFmtId="49" fontId="136" fillId="0" borderId="1" xfId="0" applyNumberFormat="1" applyFont="1" applyFill="1" applyBorder="1" applyAlignment="1" applyProtection="1">
      <alignment horizontal="center" vertical="center" wrapText="1" shrinkToFit="1"/>
      <protection locked="0"/>
    </xf>
    <xf numFmtId="176" fontId="136" fillId="0" borderId="1" xfId="0" applyNumberFormat="1" applyFont="1" applyFill="1" applyBorder="1" applyAlignment="1" applyProtection="1">
      <alignment horizontal="center" vertical="center" wrapText="1" shrinkToFit="1"/>
    </xf>
    <xf numFmtId="176" fontId="37" fillId="0" borderId="1" xfId="0" applyNumberFormat="1" applyFont="1" applyFill="1" applyBorder="1" applyAlignment="1" applyProtection="1">
      <alignment horizontal="center" vertical="center" wrapText="1" shrinkToFit="1"/>
    </xf>
    <xf numFmtId="0" fontId="37" fillId="0" borderId="2" xfId="0" applyFont="1" applyFill="1" applyBorder="1" applyAlignment="1" applyProtection="1">
      <alignment horizontal="center" vertical="center" wrapText="1" shrinkToFit="1"/>
      <protection locked="0"/>
    </xf>
    <xf numFmtId="0" fontId="37" fillId="0" borderId="2" xfId="0" applyFont="1" applyFill="1" applyBorder="1" applyAlignment="1" applyProtection="1">
      <alignment horizontal="center" vertical="center"/>
      <protection locked="0"/>
    </xf>
    <xf numFmtId="0" fontId="37" fillId="0" borderId="1" xfId="0" applyFont="1" applyFill="1" applyBorder="1" applyAlignment="1" applyProtection="1">
      <alignment horizontal="center" vertical="center" wrapText="1" shrinkToFit="1"/>
      <protection locked="0"/>
    </xf>
    <xf numFmtId="49" fontId="176" fillId="0" borderId="1" xfId="0" applyNumberFormat="1" applyFont="1" applyFill="1" applyBorder="1" applyAlignment="1" applyProtection="1">
      <alignment horizontal="center" vertical="center" wrapText="1" shrinkToFit="1"/>
      <protection locked="0"/>
    </xf>
    <xf numFmtId="0" fontId="176" fillId="0" borderId="1" xfId="0" applyFont="1" applyFill="1" applyBorder="1" applyAlignment="1" applyProtection="1">
      <alignment horizontal="center" vertical="center" wrapText="1" shrinkToFit="1"/>
      <protection locked="0"/>
    </xf>
    <xf numFmtId="176" fontId="18" fillId="0" borderId="1" xfId="0" applyNumberFormat="1" applyFont="1" applyFill="1" applyBorder="1" applyAlignment="1" applyProtection="1">
      <alignment horizontal="center" vertical="center" wrapText="1" shrinkToFit="1"/>
    </xf>
    <xf numFmtId="0" fontId="18" fillId="0" borderId="2" xfId="0" applyFont="1" applyFill="1" applyBorder="1" applyAlignment="1" applyProtection="1">
      <alignment horizontal="center" vertical="center"/>
      <protection locked="0"/>
    </xf>
    <xf numFmtId="0" fontId="141" fillId="0" borderId="1" xfId="0" applyFont="1" applyFill="1" applyBorder="1" applyAlignment="1" applyProtection="1">
      <alignment horizontal="center" vertical="center" wrapText="1" shrinkToFit="1"/>
      <protection locked="0"/>
    </xf>
    <xf numFmtId="177" fontId="5" fillId="4" borderId="1" xfId="0" applyNumberFormat="1" applyFont="1" applyFill="1" applyBorder="1" applyAlignment="1" applyProtection="1">
      <alignment horizontal="center" vertical="center" wrapText="1" shrinkToFit="1"/>
      <protection locked="0"/>
    </xf>
    <xf numFmtId="3" fontId="5" fillId="4" borderId="1" xfId="0" applyNumberFormat="1" applyFont="1" applyFill="1" applyBorder="1" applyAlignment="1" applyProtection="1">
      <alignment horizontal="center" vertical="center" wrapText="1" shrinkToFit="1"/>
      <protection locked="0"/>
    </xf>
    <xf numFmtId="3" fontId="5" fillId="0" borderId="1" xfId="0" applyNumberFormat="1" applyFont="1" applyFill="1" applyBorder="1" applyAlignment="1" applyProtection="1">
      <alignment horizontal="center" vertical="center" wrapText="1" shrinkToFit="1"/>
      <protection locked="0"/>
    </xf>
    <xf numFmtId="3" fontId="5" fillId="22" borderId="1" xfId="0" applyNumberFormat="1" applyFont="1" applyFill="1" applyBorder="1" applyAlignment="1" applyProtection="1">
      <alignment horizontal="center" vertical="center" wrapText="1" shrinkToFit="1"/>
      <protection locked="0"/>
    </xf>
    <xf numFmtId="180" fontId="5" fillId="22" borderId="1" xfId="0" applyNumberFormat="1" applyFont="1" applyFill="1" applyBorder="1" applyAlignment="1" applyProtection="1">
      <alignment horizontal="center" vertical="center" wrapText="1" shrinkToFit="1"/>
      <protection locked="0"/>
    </xf>
    <xf numFmtId="177" fontId="5" fillId="3" borderId="1" xfId="0" applyNumberFormat="1" applyFont="1" applyFill="1" applyBorder="1" applyAlignment="1" applyProtection="1">
      <alignment horizontal="center" vertical="center" wrapText="1" shrinkToFit="1"/>
      <protection locked="0"/>
    </xf>
    <xf numFmtId="0" fontId="5" fillId="3" borderId="1" xfId="0" applyNumberFormat="1" applyFont="1" applyFill="1" applyBorder="1" applyAlignment="1" applyProtection="1">
      <alignment horizontal="center" vertical="center" wrapText="1" shrinkToFit="1"/>
      <protection locked="0"/>
    </xf>
    <xf numFmtId="181" fontId="168" fillId="3" borderId="1" xfId="0" applyNumberFormat="1" applyFont="1" applyFill="1" applyBorder="1" applyAlignment="1" applyProtection="1">
      <alignment horizontal="center" vertical="center" wrapText="1"/>
      <protection locked="0"/>
    </xf>
    <xf numFmtId="177" fontId="5" fillId="22" borderId="1" xfId="0" applyNumberFormat="1" applyFont="1" applyFill="1" applyBorder="1" applyAlignment="1" applyProtection="1">
      <alignment horizontal="center" vertical="center" wrapText="1" shrinkToFit="1"/>
      <protection locked="0"/>
    </xf>
    <xf numFmtId="180" fontId="5" fillId="3" borderId="1" xfId="0" applyNumberFormat="1" applyFont="1" applyFill="1" applyBorder="1" applyAlignment="1" applyProtection="1">
      <alignment horizontal="center" vertical="center" wrapText="1" shrinkToFit="1"/>
      <protection locked="0"/>
    </xf>
    <xf numFmtId="3" fontId="5" fillId="3" borderId="1" xfId="0" applyNumberFormat="1" applyFont="1" applyFill="1" applyBorder="1" applyAlignment="1" applyProtection="1">
      <alignment horizontal="center" vertical="center" wrapText="1" shrinkToFit="1"/>
      <protection locked="0"/>
    </xf>
    <xf numFmtId="180" fontId="136" fillId="0" borderId="1" xfId="0" applyNumberFormat="1" applyFont="1" applyFill="1" applyBorder="1" applyAlignment="1" applyProtection="1">
      <alignment horizontal="center" vertical="center" wrapText="1" shrinkToFit="1"/>
      <protection locked="0"/>
    </xf>
    <xf numFmtId="177" fontId="136" fillId="0" borderId="1" xfId="0" applyNumberFormat="1" applyFont="1" applyFill="1" applyBorder="1" applyAlignment="1" applyProtection="1">
      <alignment horizontal="center" vertical="center" wrapText="1" shrinkToFit="1"/>
      <protection locked="0"/>
    </xf>
    <xf numFmtId="0" fontId="136" fillId="0" borderId="1" xfId="0" applyNumberFormat="1" applyFont="1" applyFill="1" applyBorder="1" applyAlignment="1" applyProtection="1">
      <alignment horizontal="center" vertical="center" wrapText="1" shrinkToFit="1"/>
      <protection locked="0"/>
    </xf>
    <xf numFmtId="0" fontId="176" fillId="0" borderId="1" xfId="0" applyNumberFormat="1" applyFont="1" applyFill="1" applyBorder="1" applyAlignment="1" applyProtection="1">
      <alignment horizontal="center" vertical="center" wrapText="1" shrinkToFit="1"/>
      <protection locked="0"/>
    </xf>
    <xf numFmtId="180" fontId="176" fillId="0" borderId="1" xfId="0" applyNumberFormat="1" applyFont="1" applyFill="1" applyBorder="1" applyAlignment="1" applyProtection="1">
      <alignment horizontal="center" vertical="center" wrapText="1" shrinkToFit="1"/>
      <protection locked="0"/>
    </xf>
    <xf numFmtId="0" fontId="37" fillId="0" borderId="1" xfId="0" applyNumberFormat="1" applyFont="1" applyFill="1" applyBorder="1" applyAlignment="1" applyProtection="1">
      <alignment horizontal="center" vertical="center" wrapText="1" shrinkToFit="1"/>
      <protection locked="0"/>
    </xf>
    <xf numFmtId="0" fontId="177" fillId="0" borderId="1" xfId="0" applyFont="1" applyFill="1" applyBorder="1" applyAlignment="1" applyProtection="1">
      <alignment horizontal="center" vertical="center" wrapText="1" shrinkToFit="1"/>
      <protection locked="0"/>
    </xf>
    <xf numFmtId="177" fontId="37" fillId="0" borderId="1" xfId="0" applyNumberFormat="1" applyFont="1" applyFill="1" applyBorder="1" applyAlignment="1" applyProtection="1">
      <alignment horizontal="center" vertical="center" wrapText="1" shrinkToFit="1"/>
      <protection locked="0"/>
    </xf>
    <xf numFmtId="181" fontId="169" fillId="0" borderId="2" xfId="0" applyNumberFormat="1" applyFont="1" applyFill="1" applyBorder="1" applyAlignment="1" applyProtection="1">
      <alignment horizontal="center" vertical="center" wrapText="1" shrinkToFit="1"/>
      <protection locked="0"/>
    </xf>
    <xf numFmtId="186" fontId="5" fillId="0" borderId="1" xfId="0" applyNumberFormat="1" applyFont="1" applyFill="1" applyBorder="1" applyAlignment="1" applyProtection="1">
      <alignment horizontal="center" vertical="center" wrapText="1"/>
      <protection locked="0"/>
    </xf>
    <xf numFmtId="0" fontId="5" fillId="3" borderId="1" xfId="0" applyFont="1" applyFill="1" applyBorder="1" applyAlignment="1" applyProtection="1">
      <alignment horizontal="center" vertical="center" wrapText="1"/>
      <protection locked="0"/>
    </xf>
    <xf numFmtId="181" fontId="5" fillId="3" borderId="1" xfId="0" applyNumberFormat="1" applyFont="1" applyFill="1" applyBorder="1" applyAlignment="1" applyProtection="1">
      <alignment horizontal="center" vertical="center" wrapText="1" shrinkToFit="1"/>
      <protection locked="0"/>
    </xf>
    <xf numFmtId="181" fontId="5" fillId="3" borderId="2" xfId="0" applyNumberFormat="1" applyFont="1" applyFill="1" applyBorder="1" applyAlignment="1" applyProtection="1">
      <alignment horizontal="center" vertical="center" wrapText="1" shrinkToFit="1"/>
      <protection locked="0"/>
    </xf>
    <xf numFmtId="0" fontId="5" fillId="22" borderId="1" xfId="0" applyFont="1" applyFill="1" applyBorder="1" applyAlignment="1" applyProtection="1">
      <alignment horizontal="center" vertical="center" wrapText="1"/>
      <protection locked="0"/>
    </xf>
    <xf numFmtId="179" fontId="5" fillId="22" borderId="1" xfId="0" applyNumberFormat="1" applyFont="1" applyFill="1" applyBorder="1" applyAlignment="1" applyProtection="1">
      <alignment horizontal="center" vertical="center" wrapText="1" shrinkToFit="1"/>
      <protection locked="0"/>
    </xf>
    <xf numFmtId="186" fontId="5" fillId="22" borderId="1" xfId="0" applyNumberFormat="1" applyFont="1" applyFill="1" applyBorder="1" applyAlignment="1" applyProtection="1">
      <alignment horizontal="center" vertical="center" wrapText="1"/>
      <protection locked="0"/>
    </xf>
    <xf numFmtId="181" fontId="169" fillId="3" borderId="2" xfId="0" applyNumberFormat="1" applyFont="1" applyFill="1" applyBorder="1" applyAlignment="1" applyProtection="1">
      <alignment horizontal="center" vertical="center" wrapText="1" shrinkToFit="1"/>
      <protection locked="0"/>
    </xf>
    <xf numFmtId="181" fontId="169" fillId="3" borderId="2" xfId="0" applyNumberFormat="1" applyFont="1" applyFill="1" applyBorder="1" applyAlignment="1" applyProtection="1">
      <alignment horizontal="center" vertical="center" wrapText="1" shrinkToFit="1"/>
      <protection locked="0"/>
    </xf>
    <xf numFmtId="179" fontId="5" fillId="3" borderId="1" xfId="0" applyNumberFormat="1" applyFont="1" applyFill="1" applyBorder="1" applyAlignment="1" applyProtection="1">
      <alignment horizontal="center" vertical="center" wrapText="1" shrinkToFit="1"/>
      <protection locked="0"/>
    </xf>
    <xf numFmtId="181" fontId="136" fillId="0" borderId="1" xfId="0" applyNumberFormat="1" applyFont="1" applyFill="1" applyBorder="1" applyAlignment="1" applyProtection="1">
      <alignment horizontal="center" vertical="center" wrapText="1" shrinkToFit="1"/>
      <protection locked="0"/>
    </xf>
    <xf numFmtId="0" fontId="178" fillId="0" borderId="1" xfId="0" applyNumberFormat="1" applyFont="1" applyFill="1" applyBorder="1" applyAlignment="1" applyProtection="1">
      <alignment horizontal="center" vertical="center" wrapText="1"/>
      <protection locked="0"/>
    </xf>
    <xf numFmtId="183" fontId="136" fillId="0" borderId="1" xfId="0" applyNumberFormat="1" applyFont="1" applyFill="1" applyBorder="1" applyAlignment="1" applyProtection="1">
      <alignment horizontal="center" vertical="center" wrapText="1" shrinkToFit="1"/>
      <protection locked="0"/>
    </xf>
    <xf numFmtId="179" fontId="136" fillId="0" borderId="1" xfId="0" applyNumberFormat="1" applyFont="1" applyFill="1" applyBorder="1" applyAlignment="1" applyProtection="1">
      <alignment horizontal="center" vertical="center" wrapText="1" shrinkToFit="1"/>
      <protection locked="0"/>
    </xf>
    <xf numFmtId="0" fontId="176" fillId="0" borderId="1" xfId="0" applyFont="1" applyFill="1" applyBorder="1" applyAlignment="1" applyProtection="1">
      <alignment horizontal="center" vertical="center"/>
      <protection locked="0"/>
    </xf>
    <xf numFmtId="0" fontId="37" fillId="0" borderId="3" xfId="0" applyFont="1" applyFill="1" applyBorder="1" applyAlignment="1" applyProtection="1">
      <alignment horizontal="center" vertical="center" wrapText="1" shrinkToFit="1"/>
      <protection locked="0"/>
    </xf>
    <xf numFmtId="0" fontId="5" fillId="3" borderId="3" xfId="0" applyFont="1" applyFill="1" applyBorder="1" applyAlignment="1" applyProtection="1">
      <alignment horizontal="center" vertical="center" wrapText="1" shrinkToFit="1"/>
      <protection locked="0"/>
    </xf>
    <xf numFmtId="0" fontId="5" fillId="3" borderId="2" xfId="0" applyFont="1" applyFill="1" applyBorder="1" applyAlignment="1" applyProtection="1">
      <alignment horizontal="center" vertical="center" wrapText="1" shrinkToFit="1"/>
      <protection locked="0"/>
    </xf>
    <xf numFmtId="0" fontId="5" fillId="3" borderId="1" xfId="0" applyFont="1" applyFill="1" applyBorder="1" applyAlignment="1" applyProtection="1">
      <alignment vertical="center" wrapText="1" shrinkToFit="1"/>
      <protection locked="0"/>
    </xf>
    <xf numFmtId="0" fontId="136" fillId="0" borderId="3" xfId="0" applyNumberFormat="1" applyFont="1" applyFill="1" applyBorder="1" applyAlignment="1" applyProtection="1">
      <alignment horizontal="center" vertical="center" wrapText="1" shrinkToFit="1"/>
      <protection locked="0"/>
    </xf>
    <xf numFmtId="0" fontId="136" fillId="0" borderId="3" xfId="0" applyFont="1" applyFill="1" applyBorder="1" applyAlignment="1" applyProtection="1">
      <alignment horizontal="center" vertical="center" wrapText="1" shrinkToFit="1"/>
      <protection locked="0"/>
    </xf>
    <xf numFmtId="0" fontId="18" fillId="0" borderId="3" xfId="0" applyNumberFormat="1" applyFont="1" applyFill="1" applyBorder="1" applyAlignment="1" applyProtection="1">
      <alignment horizontal="center" vertical="center" wrapText="1" shrinkToFit="1"/>
      <protection locked="0"/>
    </xf>
    <xf numFmtId="0" fontId="18" fillId="0" borderId="3" xfId="0" applyFont="1" applyFill="1" applyBorder="1" applyAlignment="1" applyProtection="1">
      <alignment vertical="center" wrapText="1" shrinkToFit="1"/>
      <protection locked="0"/>
    </xf>
    <xf numFmtId="0" fontId="169" fillId="3" borderId="1" xfId="0" applyFont="1" applyFill="1" applyBorder="1" applyAlignment="1" applyProtection="1">
      <alignment horizontal="center" vertical="center"/>
      <protection locked="0"/>
    </xf>
    <xf numFmtId="0" fontId="138" fillId="0" borderId="1" xfId="0" applyFont="1" applyFill="1" applyBorder="1" applyAlignment="1" applyProtection="1">
      <alignment horizontal="center" vertical="center" wrapText="1" shrinkToFit="1"/>
      <protection locked="0"/>
    </xf>
    <xf numFmtId="181" fontId="37" fillId="0" borderId="2" xfId="0" applyNumberFormat="1" applyFont="1" applyFill="1" applyBorder="1" applyAlignment="1" applyProtection="1">
      <alignment horizontal="center" vertical="center" wrapText="1" shrinkToFit="1"/>
      <protection locked="0"/>
    </xf>
    <xf numFmtId="0" fontId="37" fillId="0" borderId="1" xfId="0" applyFont="1" applyFill="1" applyBorder="1" applyAlignment="1" applyProtection="1">
      <alignment horizontal="center" vertical="center" wrapText="1"/>
      <protection locked="0"/>
    </xf>
    <xf numFmtId="177" fontId="176" fillId="0" borderId="1" xfId="0" applyNumberFormat="1" applyFont="1" applyFill="1" applyBorder="1" applyAlignment="1" applyProtection="1">
      <alignment horizontal="center" vertical="center" wrapText="1" shrinkToFit="1"/>
      <protection locked="0"/>
    </xf>
    <xf numFmtId="183" fontId="176" fillId="0" borderId="1" xfId="0" applyNumberFormat="1" applyFont="1" applyFill="1" applyBorder="1" applyAlignment="1" applyProtection="1">
      <alignment horizontal="center" vertical="center" wrapText="1" shrinkToFit="1"/>
      <protection locked="0"/>
    </xf>
    <xf numFmtId="179" fontId="176" fillId="0" borderId="1" xfId="0" applyNumberFormat="1" applyFont="1" applyFill="1" applyBorder="1" applyAlignment="1" applyProtection="1">
      <alignment horizontal="center" vertical="center" wrapText="1" shrinkToFit="1"/>
      <protection locked="0"/>
    </xf>
    <xf numFmtId="187" fontId="5" fillId="3" borderId="1" xfId="0" applyNumberFormat="1" applyFont="1" applyFill="1" applyBorder="1" applyAlignment="1" applyProtection="1">
      <alignment horizontal="center" vertical="center"/>
      <protection locked="0"/>
    </xf>
    <xf numFmtId="187" fontId="5" fillId="22" borderId="1" xfId="0" applyNumberFormat="1" applyFont="1" applyFill="1" applyBorder="1" applyAlignment="1" applyProtection="1">
      <alignment horizontal="center" vertical="center"/>
      <protection locked="0"/>
    </xf>
    <xf numFmtId="187" fontId="136" fillId="0" borderId="1" xfId="0" applyNumberFormat="1" applyFont="1" applyFill="1" applyBorder="1" applyAlignment="1" applyProtection="1">
      <alignment horizontal="center" vertical="center"/>
      <protection locked="0"/>
    </xf>
    <xf numFmtId="187" fontId="37" fillId="0" borderId="2" xfId="0" applyNumberFormat="1" applyFont="1" applyFill="1" applyBorder="1" applyAlignment="1" applyProtection="1">
      <alignment horizontal="center" vertical="center"/>
      <protection locked="0"/>
    </xf>
    <xf numFmtId="187" fontId="18" fillId="0" borderId="2" xfId="0" applyNumberFormat="1" applyFont="1" applyFill="1" applyBorder="1" applyAlignment="1" applyProtection="1">
      <alignment horizontal="center" vertical="center"/>
      <protection locked="0"/>
    </xf>
    <xf numFmtId="180" fontId="37" fillId="0" borderId="1" xfId="0" applyNumberFormat="1" applyFont="1" applyFill="1" applyBorder="1" applyAlignment="1" applyProtection="1">
      <alignment horizontal="center" vertical="center"/>
      <protection locked="0"/>
    </xf>
    <xf numFmtId="180" fontId="18" fillId="0" borderId="1" xfId="0" applyNumberFormat="1" applyFont="1" applyFill="1" applyBorder="1" applyAlignment="1" applyProtection="1">
      <alignment horizontal="center" vertical="center"/>
      <protection locked="0"/>
    </xf>
    <xf numFmtId="49" fontId="18" fillId="0" borderId="1" xfId="0" applyNumberFormat="1" applyFont="1" applyFill="1" applyBorder="1" applyAlignment="1" applyProtection="1">
      <alignment horizontal="center" vertical="center" wrapText="1" shrinkToFit="1"/>
      <protection locked="0"/>
    </xf>
    <xf numFmtId="0" fontId="0" fillId="0" borderId="0" xfId="0" applyFill="1" applyAlignment="1" applyProtection="1">
      <alignment horizontal="center" vertical="center"/>
      <protection locked="0"/>
    </xf>
    <xf numFmtId="0" fontId="0" fillId="0" borderId="1" xfId="0" applyFill="1" applyBorder="1" applyAlignment="1" applyProtection="1">
      <alignment horizontal="center" vertical="center"/>
      <protection locked="0"/>
    </xf>
    <xf numFmtId="176" fontId="88" fillId="0" borderId="1" xfId="0" applyNumberFormat="1" applyFont="1" applyFill="1" applyBorder="1" applyAlignment="1" applyProtection="1">
      <alignment horizontal="center" vertical="center" wrapText="1"/>
    </xf>
    <xf numFmtId="176" fontId="88" fillId="0" borderId="1" xfId="0" applyNumberFormat="1" applyFont="1" applyFill="1" applyBorder="1" applyAlignment="1" applyProtection="1">
      <alignment horizontal="center" vertical="center"/>
      <protection locked="0"/>
    </xf>
    <xf numFmtId="0" fontId="88" fillId="0" borderId="1" xfId="0" applyFont="1" applyFill="1" applyBorder="1" applyAlignment="1" applyProtection="1">
      <alignment vertical="center" wrapText="1"/>
      <protection locked="0"/>
    </xf>
    <xf numFmtId="0" fontId="88" fillId="0" borderId="1" xfId="0" applyFont="1" applyFill="1" applyBorder="1" applyProtection="1">
      <alignment vertical="center"/>
      <protection locked="0"/>
    </xf>
    <xf numFmtId="176" fontId="88" fillId="0" borderId="1" xfId="0" applyNumberFormat="1" applyFont="1" applyFill="1" applyBorder="1" applyAlignment="1" applyProtection="1">
      <alignment vertical="center" wrapText="1"/>
      <protection locked="0"/>
    </xf>
    <xf numFmtId="176" fontId="88" fillId="0" borderId="1" xfId="0" applyNumberFormat="1" applyFont="1" applyFill="1" applyBorder="1" applyProtection="1">
      <alignment vertical="center"/>
      <protection locked="0"/>
    </xf>
    <xf numFmtId="176" fontId="88" fillId="0" borderId="1" xfId="0" applyNumberFormat="1" applyFont="1" applyFill="1" applyBorder="1" applyProtection="1">
      <alignment vertical="center"/>
    </xf>
    <xf numFmtId="186" fontId="88" fillId="0" borderId="1" xfId="0" applyNumberFormat="1" applyFont="1" applyFill="1" applyBorder="1" applyAlignment="1" applyProtection="1">
      <alignment horizontal="center" vertical="center"/>
      <protection locked="0"/>
    </xf>
    <xf numFmtId="186" fontId="88" fillId="0" borderId="1" xfId="0" applyNumberFormat="1" applyFont="1" applyFill="1" applyBorder="1" applyProtection="1">
      <alignment vertical="center"/>
      <protection locked="0"/>
    </xf>
    <xf numFmtId="180" fontId="88" fillId="0" borderId="1" xfId="0" applyNumberFormat="1" applyFont="1" applyFill="1" applyBorder="1" applyProtection="1">
      <alignment vertical="center"/>
      <protection locked="0"/>
    </xf>
    <xf numFmtId="0" fontId="97" fillId="0" borderId="1" xfId="0" applyFont="1" applyFill="1" applyBorder="1" applyAlignment="1" applyProtection="1">
      <alignment horizontal="center" vertical="center" wrapText="1"/>
      <protection locked="0"/>
    </xf>
    <xf numFmtId="176" fontId="27" fillId="0" borderId="1" xfId="0" applyNumberFormat="1" applyFont="1" applyFill="1" applyBorder="1" applyProtection="1">
      <alignment vertical="center"/>
      <protection locked="0"/>
    </xf>
    <xf numFmtId="180" fontId="88" fillId="0" borderId="1" xfId="0" applyNumberFormat="1" applyFont="1" applyFill="1" applyBorder="1" applyAlignment="1" applyProtection="1">
      <alignment horizontal="right" vertical="center"/>
      <protection locked="0"/>
    </xf>
    <xf numFmtId="183" fontId="18" fillId="0" borderId="1" xfId="0" applyNumberFormat="1" applyFont="1" applyFill="1" applyBorder="1" applyAlignment="1" applyProtection="1">
      <alignment horizontal="center" vertical="center" wrapText="1" shrinkToFit="1"/>
      <protection locked="0"/>
    </xf>
    <xf numFmtId="178" fontId="18" fillId="0" borderId="1" xfId="0" applyNumberFormat="1" applyFont="1" applyFill="1" applyBorder="1" applyAlignment="1" applyProtection="1">
      <alignment horizontal="center" vertical="center" wrapText="1" shrinkToFit="1"/>
      <protection locked="0"/>
    </xf>
    <xf numFmtId="178" fontId="0" fillId="0" borderId="0" xfId="0" applyNumberFormat="1" applyFill="1" applyAlignment="1" applyProtection="1">
      <alignment horizontal="center" vertical="center" wrapText="1"/>
      <protection locked="0"/>
    </xf>
    <xf numFmtId="179" fontId="0" fillId="0" borderId="0" xfId="0" applyNumberFormat="1" applyFill="1" applyAlignment="1" applyProtection="1">
      <alignment horizontal="center" vertical="center" wrapText="1"/>
      <protection locked="0"/>
    </xf>
    <xf numFmtId="0" fontId="37" fillId="0" borderId="3" xfId="0" applyNumberFormat="1" applyFont="1" applyFill="1" applyBorder="1" applyAlignment="1" applyProtection="1">
      <alignment horizontal="center" vertical="center" wrapText="1" shrinkToFit="1"/>
      <protection locked="0"/>
    </xf>
    <xf numFmtId="0" fontId="37" fillId="0" borderId="3" xfId="0" applyFont="1" applyFill="1" applyBorder="1" applyAlignment="1" applyProtection="1">
      <alignment vertical="center" wrapText="1" shrinkToFit="1"/>
      <protection locked="0"/>
    </xf>
    <xf numFmtId="0" fontId="18" fillId="0" borderId="2" xfId="0" applyNumberFormat="1" applyFont="1" applyFill="1" applyBorder="1" applyAlignment="1" applyProtection="1">
      <alignment horizontal="center" vertical="center" wrapText="1" shrinkToFit="1"/>
      <protection locked="0"/>
    </xf>
    <xf numFmtId="0" fontId="137" fillId="0" borderId="0" xfId="0" applyFont="1" applyFill="1" applyAlignment="1" applyProtection="1">
      <alignment horizontal="center" vertical="center"/>
      <protection locked="0"/>
    </xf>
    <xf numFmtId="0" fontId="137" fillId="0" borderId="0" xfId="0" applyNumberFormat="1" applyFont="1" applyFill="1" applyProtection="1">
      <alignment vertical="center"/>
      <protection locked="0"/>
    </xf>
    <xf numFmtId="0" fontId="179" fillId="0" borderId="1" xfId="0" applyFont="1" applyFill="1" applyBorder="1" applyAlignment="1" applyProtection="1">
      <alignment horizontal="center" vertical="center" wrapText="1" shrinkToFit="1"/>
      <protection locked="0"/>
    </xf>
    <xf numFmtId="0" fontId="138" fillId="0" borderId="0" xfId="0" applyFont="1" applyFill="1" applyAlignment="1" applyProtection="1">
      <alignment horizontal="center" vertical="center"/>
      <protection locked="0"/>
    </xf>
    <xf numFmtId="187" fontId="0" fillId="0" borderId="1" xfId="0" applyNumberFormat="1" applyFill="1" applyBorder="1" applyAlignment="1" applyProtection="1">
      <alignment horizontal="center" vertical="center"/>
      <protection locked="0"/>
    </xf>
    <xf numFmtId="176" fontId="3" fillId="0" borderId="1" xfId="0" applyNumberFormat="1" applyFont="1" applyFill="1" applyBorder="1" applyAlignment="1" applyProtection="1">
      <alignment horizontal="center" vertical="center" wrapText="1" shrinkToFit="1"/>
    </xf>
    <xf numFmtId="0" fontId="3" fillId="0" borderId="1" xfId="0" applyFont="1" applyFill="1" applyBorder="1" applyAlignment="1" applyProtection="1">
      <alignment horizontal="center" vertical="center" wrapText="1"/>
      <protection locked="0"/>
    </xf>
    <xf numFmtId="176" fontId="3" fillId="0" borderId="3" xfId="0" applyNumberFormat="1" applyFont="1" applyFill="1" applyBorder="1" applyAlignment="1" applyProtection="1">
      <alignment horizontal="center" vertical="center" wrapText="1" shrinkToFit="1"/>
    </xf>
    <xf numFmtId="0" fontId="3" fillId="0" borderId="3" xfId="0" applyFont="1" applyFill="1" applyBorder="1" applyAlignment="1" applyProtection="1">
      <alignment horizontal="center" vertical="center" wrapText="1"/>
      <protection locked="0"/>
    </xf>
    <xf numFmtId="0" fontId="3" fillId="0" borderId="3" xfId="0" applyFont="1" applyFill="1" applyBorder="1" applyAlignment="1" applyProtection="1">
      <alignment horizontal="center" vertical="center" wrapText="1" shrinkToFit="1"/>
      <protection locked="0"/>
    </xf>
    <xf numFmtId="0" fontId="4" fillId="0" borderId="3" xfId="0" applyFont="1" applyFill="1" applyBorder="1" applyAlignment="1" applyProtection="1">
      <alignment horizontal="center" vertical="center"/>
      <protection locked="0"/>
    </xf>
    <xf numFmtId="0" fontId="22" fillId="0" borderId="3" xfId="0" applyNumberFormat="1" applyFont="1" applyFill="1" applyBorder="1" applyAlignment="1" applyProtection="1">
      <alignment horizontal="center" vertical="center" shrinkToFit="1"/>
      <protection locked="0"/>
    </xf>
    <xf numFmtId="0" fontId="21" fillId="0" borderId="3" xfId="0" applyNumberFormat="1" applyFont="1" applyFill="1" applyBorder="1" applyAlignment="1" applyProtection="1">
      <alignment horizontal="center" vertical="center" wrapText="1"/>
      <protection locked="0"/>
    </xf>
    <xf numFmtId="0" fontId="36" fillId="0" borderId="3" xfId="0" applyNumberFormat="1" applyFont="1" applyFill="1" applyBorder="1" applyAlignment="1" applyProtection="1">
      <alignment horizontal="center" vertical="center" wrapText="1"/>
      <protection locked="0"/>
    </xf>
    <xf numFmtId="0" fontId="24" fillId="0" borderId="1" xfId="0" applyNumberFormat="1" applyFont="1" applyFill="1" applyBorder="1" applyAlignment="1" applyProtection="1">
      <alignment horizontal="center" vertical="center" wrapText="1"/>
      <protection locked="0"/>
    </xf>
    <xf numFmtId="0" fontId="4" fillId="0" borderId="2" xfId="0" applyFont="1" applyFill="1" applyBorder="1" applyAlignment="1" applyProtection="1">
      <alignment vertical="center" wrapText="1" shrinkToFit="1"/>
      <protection locked="0"/>
    </xf>
    <xf numFmtId="58" fontId="4" fillId="0" borderId="2" xfId="0" applyNumberFormat="1" applyFont="1" applyFill="1" applyBorder="1" applyAlignment="1" applyProtection="1">
      <alignment vertical="center" wrapText="1" shrinkToFit="1"/>
      <protection locked="0"/>
    </xf>
    <xf numFmtId="0" fontId="180" fillId="0" borderId="1" xfId="0" applyFont="1" applyFill="1" applyBorder="1" applyAlignment="1" applyProtection="1">
      <alignment horizontal="center" vertical="center"/>
      <protection locked="0"/>
    </xf>
    <xf numFmtId="0" fontId="180" fillId="4" borderId="1" xfId="0" applyFont="1" applyFill="1" applyBorder="1" applyAlignment="1" applyProtection="1">
      <alignment horizontal="center" vertical="center"/>
      <protection locked="0"/>
    </xf>
    <xf numFmtId="0" fontId="176" fillId="0" borderId="0" xfId="0" applyFont="1" applyFill="1" applyProtection="1">
      <alignment vertical="center"/>
      <protection locked="0"/>
    </xf>
    <xf numFmtId="176" fontId="5" fillId="0" borderId="1" xfId="0" applyNumberFormat="1" applyFont="1" applyFill="1" applyBorder="1" applyAlignment="1" applyProtection="1">
      <alignment horizontal="center" vertical="center" wrapText="1" shrinkToFit="1"/>
    </xf>
    <xf numFmtId="0" fontId="5" fillId="0" borderId="2" xfId="0" applyFont="1" applyFill="1" applyBorder="1" applyAlignment="1" applyProtection="1">
      <alignment horizontal="center" vertical="center"/>
      <protection locked="0"/>
    </xf>
    <xf numFmtId="49" fontId="169" fillId="0" borderId="1" xfId="0" applyNumberFormat="1" applyFont="1" applyFill="1" applyBorder="1" applyAlignment="1" applyProtection="1">
      <alignment horizontal="center" vertical="center" wrapText="1" shrinkToFit="1"/>
      <protection locked="0"/>
    </xf>
    <xf numFmtId="0" fontId="20" fillId="0" borderId="1" xfId="0" applyFont="1" applyFill="1" applyBorder="1" applyAlignment="1" applyProtection="1">
      <alignment horizontal="center" vertical="center" wrapText="1"/>
      <protection locked="0"/>
    </xf>
    <xf numFmtId="176" fontId="135" fillId="0" borderId="1" xfId="0" applyNumberFormat="1" applyFont="1" applyFill="1" applyBorder="1" applyAlignment="1" applyProtection="1">
      <alignment horizontal="center" vertical="center" wrapText="1" shrinkToFit="1"/>
    </xf>
    <xf numFmtId="0" fontId="135" fillId="0" borderId="2" xfId="0" applyFont="1" applyFill="1" applyBorder="1" applyAlignment="1" applyProtection="1">
      <alignment horizontal="center" vertical="center"/>
      <protection locked="0"/>
    </xf>
    <xf numFmtId="49" fontId="166" fillId="0" borderId="1" xfId="0" applyNumberFormat="1" applyFont="1" applyFill="1" applyBorder="1" applyAlignment="1" applyProtection="1">
      <alignment horizontal="center" vertical="center" wrapText="1" shrinkToFit="1"/>
      <protection locked="0"/>
    </xf>
    <xf numFmtId="0" fontId="135" fillId="0" borderId="2" xfId="0" applyFont="1" applyFill="1" applyBorder="1" applyAlignment="1" applyProtection="1">
      <alignment horizontal="center" vertical="center" wrapText="1"/>
      <protection locked="0"/>
    </xf>
    <xf numFmtId="0" fontId="165" fillId="0" borderId="2" xfId="0" applyFont="1" applyFill="1" applyBorder="1" applyAlignment="1" applyProtection="1">
      <alignment horizontal="center" vertical="center" wrapText="1"/>
      <protection locked="0"/>
    </xf>
    <xf numFmtId="0" fontId="165" fillId="0" borderId="2" xfId="0" applyFont="1" applyFill="1" applyBorder="1" applyAlignment="1" applyProtection="1">
      <alignment horizontal="center" vertical="center"/>
      <protection locked="0"/>
    </xf>
    <xf numFmtId="0" fontId="166" fillId="0" borderId="2" xfId="0" applyFont="1" applyFill="1" applyBorder="1" applyAlignment="1" applyProtection="1">
      <alignment horizontal="center" vertical="center" wrapText="1" shrinkToFit="1"/>
      <protection locked="0"/>
    </xf>
    <xf numFmtId="176" fontId="135" fillId="23" borderId="1" xfId="0" applyNumberFormat="1" applyFont="1" applyFill="1" applyBorder="1" applyAlignment="1" applyProtection="1">
      <alignment horizontal="center" vertical="center" wrapText="1" shrinkToFit="1"/>
    </xf>
    <xf numFmtId="180" fontId="169" fillId="0" borderId="1" xfId="0" applyNumberFormat="1" applyFont="1" applyFill="1" applyBorder="1" applyAlignment="1" applyProtection="1">
      <alignment horizontal="center" vertical="center" wrapText="1" shrinkToFit="1"/>
      <protection locked="0"/>
    </xf>
    <xf numFmtId="0" fontId="169" fillId="0" borderId="1" xfId="0" applyNumberFormat="1" applyFont="1" applyFill="1" applyBorder="1" applyAlignment="1" applyProtection="1">
      <alignment horizontal="center" vertical="center" wrapText="1" shrinkToFit="1"/>
      <protection locked="0"/>
    </xf>
    <xf numFmtId="180" fontId="166" fillId="0" borderId="1" xfId="0" applyNumberFormat="1" applyFont="1" applyFill="1" applyBorder="1" applyAlignment="1" applyProtection="1">
      <alignment horizontal="center" vertical="center" wrapText="1" shrinkToFit="1"/>
      <protection locked="0"/>
    </xf>
    <xf numFmtId="0" fontId="135" fillId="0" borderId="1" xfId="0" applyNumberFormat="1" applyFont="1" applyFill="1" applyBorder="1" applyAlignment="1">
      <alignment horizontal="center" vertical="center"/>
    </xf>
    <xf numFmtId="0" fontId="166" fillId="0" borderId="1" xfId="0" applyNumberFormat="1" applyFont="1" applyFill="1" applyBorder="1" applyAlignment="1" applyProtection="1">
      <alignment horizontal="center" vertical="center" wrapText="1" shrinkToFit="1"/>
      <protection locked="0"/>
    </xf>
    <xf numFmtId="177" fontId="135" fillId="4" borderId="1" xfId="0" applyNumberFormat="1" applyFont="1" applyFill="1" applyBorder="1" applyAlignment="1" applyProtection="1">
      <alignment horizontal="center" vertical="center" wrapText="1" shrinkToFit="1"/>
      <protection locked="0"/>
    </xf>
    <xf numFmtId="0" fontId="166" fillId="4" borderId="1" xfId="0" applyFont="1" applyFill="1" applyBorder="1" applyAlignment="1" applyProtection="1">
      <alignment horizontal="center" vertical="center" wrapText="1" shrinkToFit="1"/>
      <protection locked="0"/>
    </xf>
    <xf numFmtId="181" fontId="5" fillId="0" borderId="2" xfId="0" applyNumberFormat="1" applyFont="1" applyFill="1" applyBorder="1" applyAlignment="1" applyProtection="1">
      <alignment horizontal="center" vertical="center" wrapText="1" shrinkToFit="1"/>
      <protection locked="0"/>
    </xf>
    <xf numFmtId="177" fontId="169" fillId="0" borderId="1" xfId="0" applyNumberFormat="1" applyFont="1" applyFill="1" applyBorder="1" applyAlignment="1" applyProtection="1">
      <alignment horizontal="center" vertical="center" wrapText="1" shrinkToFit="1"/>
      <protection locked="0"/>
    </xf>
    <xf numFmtId="183" fontId="169" fillId="0" borderId="1" xfId="0" applyNumberFormat="1" applyFont="1" applyFill="1" applyBorder="1" applyAlignment="1" applyProtection="1">
      <alignment horizontal="center" vertical="center" wrapText="1" shrinkToFit="1"/>
      <protection locked="0"/>
    </xf>
    <xf numFmtId="179" fontId="169" fillId="0" borderId="1" xfId="0" applyNumberFormat="1" applyFont="1" applyFill="1" applyBorder="1" applyAlignment="1" applyProtection="1">
      <alignment horizontal="center" vertical="center" wrapText="1" shrinkToFit="1"/>
      <protection locked="0"/>
    </xf>
    <xf numFmtId="0" fontId="169" fillId="0" borderId="1" xfId="0" applyFont="1" applyFill="1" applyBorder="1" applyAlignment="1" applyProtection="1">
      <alignment horizontal="center" vertical="center" wrapText="1"/>
      <protection locked="0"/>
    </xf>
    <xf numFmtId="177" fontId="166" fillId="0" borderId="1" xfId="0" applyNumberFormat="1" applyFont="1" applyFill="1" applyBorder="1" applyAlignment="1" applyProtection="1">
      <alignment horizontal="center" vertical="center" wrapText="1" shrinkToFit="1"/>
      <protection locked="0"/>
    </xf>
    <xf numFmtId="183" fontId="166" fillId="0" borderId="1" xfId="0" applyNumberFormat="1" applyFont="1" applyFill="1" applyBorder="1" applyAlignment="1" applyProtection="1">
      <alignment horizontal="center" vertical="center" wrapText="1" shrinkToFit="1"/>
      <protection locked="0"/>
    </xf>
    <xf numFmtId="179" fontId="166" fillId="0" borderId="1" xfId="0" applyNumberFormat="1" applyFont="1" applyFill="1" applyBorder="1" applyAlignment="1" applyProtection="1">
      <alignment horizontal="center" vertical="center" wrapText="1" shrinkToFit="1"/>
      <protection locked="0"/>
    </xf>
    <xf numFmtId="177" fontId="165" fillId="4" borderId="1" xfId="0" applyNumberFormat="1" applyFont="1" applyFill="1" applyBorder="1" applyAlignment="1" applyProtection="1">
      <alignment horizontal="center" vertical="center" wrapText="1" shrinkToFit="1"/>
      <protection locked="0"/>
    </xf>
    <xf numFmtId="0" fontId="169" fillId="0" borderId="3" xfId="0" applyNumberFormat="1" applyFont="1" applyFill="1" applyBorder="1" applyAlignment="1" applyProtection="1">
      <alignment horizontal="center" vertical="center" wrapText="1" shrinkToFit="1"/>
      <protection locked="0"/>
    </xf>
    <xf numFmtId="0" fontId="169" fillId="0" borderId="3" xfId="0" applyFont="1" applyFill="1" applyBorder="1" applyAlignment="1" applyProtection="1">
      <alignment horizontal="center" vertical="center" wrapText="1" shrinkToFit="1"/>
      <protection locked="0"/>
    </xf>
    <xf numFmtId="0" fontId="5" fillId="0" borderId="3" xfId="0" applyNumberFormat="1" applyFont="1" applyFill="1" applyBorder="1" applyAlignment="1" applyProtection="1">
      <alignment horizontal="center" vertical="center" wrapText="1" shrinkToFit="1"/>
      <protection locked="0"/>
    </xf>
    <xf numFmtId="0" fontId="5" fillId="0" borderId="3" xfId="0" applyFont="1" applyFill="1" applyBorder="1" applyAlignment="1" applyProtection="1">
      <alignment vertical="center" wrapText="1" shrinkToFit="1"/>
      <protection locked="0"/>
    </xf>
    <xf numFmtId="0" fontId="135" fillId="0" borderId="3" xfId="0" applyNumberFormat="1" applyFont="1" applyFill="1" applyBorder="1" applyAlignment="1" applyProtection="1">
      <alignment horizontal="center" vertical="center" wrapText="1" shrinkToFit="1"/>
      <protection locked="0"/>
    </xf>
    <xf numFmtId="0" fontId="135" fillId="0" borderId="3" xfId="0" applyFont="1" applyFill="1" applyBorder="1" applyAlignment="1" applyProtection="1">
      <alignment vertical="center" wrapText="1" shrinkToFit="1"/>
      <protection locked="0"/>
    </xf>
    <xf numFmtId="0" fontId="181" fillId="0" borderId="1" xfId="0" applyFont="1" applyFill="1" applyBorder="1" applyAlignment="1" applyProtection="1">
      <alignment horizontal="center" vertical="center" wrapText="1" shrinkToFit="1"/>
      <protection locked="0"/>
    </xf>
    <xf numFmtId="58" fontId="165" fillId="0" borderId="3" xfId="0" applyNumberFormat="1" applyFont="1" applyFill="1" applyBorder="1" applyAlignment="1">
      <alignment horizontal="center" vertical="center"/>
    </xf>
    <xf numFmtId="0" fontId="182" fillId="2" borderId="37" xfId="0" applyFont="1" applyFill="1" applyBorder="1" applyAlignment="1">
      <alignment horizontal="center" vertical="center"/>
    </xf>
    <xf numFmtId="0" fontId="166" fillId="4" borderId="1" xfId="0" applyFont="1" applyFill="1" applyBorder="1" applyAlignment="1" applyProtection="1">
      <alignment horizontal="center" vertical="center"/>
      <protection locked="0"/>
    </xf>
    <xf numFmtId="180" fontId="135" fillId="0" borderId="1" xfId="0" applyNumberFormat="1" applyFont="1" applyFill="1" applyBorder="1" applyAlignment="1" applyProtection="1">
      <alignment horizontal="center" vertical="center"/>
      <protection locked="0"/>
    </xf>
    <xf numFmtId="0" fontId="135" fillId="4" borderId="1" xfId="0" applyFont="1" applyFill="1" applyBorder="1" applyAlignment="1" applyProtection="1">
      <alignment horizontal="center" vertical="center"/>
      <protection locked="0"/>
    </xf>
    <xf numFmtId="0" fontId="166" fillId="0" borderId="2" xfId="0" applyFont="1" applyFill="1" applyBorder="1" applyAlignment="1" applyProtection="1">
      <alignment horizontal="center" vertical="center"/>
      <protection locked="0"/>
    </xf>
    <xf numFmtId="187" fontId="169" fillId="0" borderId="1" xfId="0" applyNumberFormat="1" applyFont="1" applyFill="1" applyBorder="1" applyAlignment="1" applyProtection="1">
      <alignment horizontal="center" vertical="center"/>
      <protection locked="0"/>
    </xf>
    <xf numFmtId="180" fontId="5" fillId="0" borderId="1" xfId="0" applyNumberFormat="1" applyFont="1" applyFill="1" applyBorder="1" applyAlignment="1" applyProtection="1">
      <alignment horizontal="center" vertical="center"/>
      <protection locked="0"/>
    </xf>
    <xf numFmtId="0" fontId="18" fillId="0" borderId="2" xfId="0" applyFont="1" applyFill="1" applyBorder="1" applyAlignment="1" applyProtection="1">
      <alignment horizontal="center" vertical="center" wrapText="1"/>
      <protection locked="0"/>
    </xf>
    <xf numFmtId="176" fontId="134" fillId="0" borderId="1" xfId="0" applyNumberFormat="1" applyFont="1" applyFill="1" applyBorder="1" applyAlignment="1" applyProtection="1">
      <alignment horizontal="center" vertical="center" wrapText="1" shrinkToFit="1"/>
    </xf>
    <xf numFmtId="49" fontId="151" fillId="0" borderId="1" xfId="0" applyNumberFormat="1" applyFont="1" applyFill="1" applyBorder="1" applyAlignment="1" applyProtection="1">
      <alignment horizontal="center" vertical="center" wrapText="1" shrinkToFit="1"/>
      <protection locked="0"/>
    </xf>
    <xf numFmtId="0" fontId="134" fillId="0" borderId="2" xfId="0" applyFont="1" applyFill="1" applyBorder="1" applyAlignment="1" applyProtection="1">
      <alignment horizontal="center" vertical="center"/>
      <protection locked="0"/>
    </xf>
    <xf numFmtId="0" fontId="134" fillId="0" borderId="2" xfId="0" applyFont="1" applyFill="1" applyBorder="1" applyAlignment="1" applyProtection="1">
      <alignment horizontal="center" vertical="center" wrapText="1"/>
      <protection locked="0"/>
    </xf>
    <xf numFmtId="0" fontId="151" fillId="0" borderId="2" xfId="0" applyFont="1" applyFill="1" applyBorder="1" applyAlignment="1" applyProtection="1">
      <alignment horizontal="center" vertical="center" wrapText="1" shrinkToFit="1"/>
      <protection locked="0"/>
    </xf>
    <xf numFmtId="177" fontId="18" fillId="4" borderId="1" xfId="0" applyNumberFormat="1" applyFont="1" applyFill="1" applyBorder="1" applyAlignment="1" applyProtection="1">
      <alignment horizontal="center" vertical="center" wrapText="1" shrinkToFit="1"/>
      <protection locked="0"/>
    </xf>
    <xf numFmtId="179" fontId="140" fillId="0" borderId="1" xfId="0" applyNumberFormat="1" applyFont="1" applyFill="1" applyBorder="1" applyAlignment="1" applyProtection="1">
      <alignment horizontal="center" vertical="center" wrapText="1"/>
      <protection locked="0"/>
    </xf>
    <xf numFmtId="180" fontId="151" fillId="0" borderId="1" xfId="0" applyNumberFormat="1" applyFont="1" applyFill="1" applyBorder="1" applyAlignment="1" applyProtection="1">
      <alignment horizontal="center" vertical="center" wrapText="1" shrinkToFit="1"/>
      <protection locked="0"/>
    </xf>
    <xf numFmtId="0" fontId="151" fillId="0" borderId="1" xfId="0" applyNumberFormat="1" applyFont="1" applyFill="1" applyBorder="1" applyAlignment="1" applyProtection="1">
      <alignment horizontal="center" vertical="center" wrapText="1" shrinkToFit="1"/>
      <protection locked="0"/>
    </xf>
    <xf numFmtId="0" fontId="136" fillId="4" borderId="1" xfId="0" applyFont="1" applyFill="1" applyBorder="1" applyAlignment="1" applyProtection="1">
      <alignment horizontal="center" vertical="center" wrapText="1" shrinkToFit="1"/>
      <protection locked="0"/>
    </xf>
    <xf numFmtId="177" fontId="151" fillId="0" borderId="1" xfId="0" applyNumberFormat="1" applyFont="1" applyFill="1" applyBorder="1" applyAlignment="1" applyProtection="1">
      <alignment horizontal="center" vertical="center" wrapText="1" shrinkToFit="1"/>
      <protection locked="0"/>
    </xf>
    <xf numFmtId="183" fontId="151" fillId="0" borderId="1" xfId="0" applyNumberFormat="1" applyFont="1" applyFill="1" applyBorder="1" applyAlignment="1" applyProtection="1">
      <alignment horizontal="center" vertical="center" wrapText="1" shrinkToFit="1"/>
      <protection locked="0"/>
    </xf>
    <xf numFmtId="179" fontId="151" fillId="0" borderId="1" xfId="0" applyNumberFormat="1" applyFont="1" applyFill="1" applyBorder="1" applyAlignment="1" applyProtection="1">
      <alignment horizontal="center" vertical="center" wrapText="1" shrinkToFit="1"/>
      <protection locked="0"/>
    </xf>
    <xf numFmtId="183" fontId="151" fillId="3" borderId="1" xfId="0" applyNumberFormat="1" applyFont="1" applyFill="1" applyBorder="1" applyAlignment="1" applyProtection="1">
      <alignment horizontal="center" vertical="center" wrapText="1" shrinkToFit="1"/>
      <protection locked="0"/>
    </xf>
    <xf numFmtId="0" fontId="183" fillId="0" borderId="1" xfId="0" applyFont="1" applyFill="1" applyBorder="1" applyAlignment="1">
      <alignment horizontal="center" vertical="center"/>
    </xf>
    <xf numFmtId="0" fontId="134" fillId="0" borderId="3" xfId="0" applyNumberFormat="1" applyFont="1" applyFill="1" applyBorder="1" applyAlignment="1" applyProtection="1">
      <alignment horizontal="center" vertical="center" wrapText="1" shrinkToFit="1"/>
      <protection locked="0"/>
    </xf>
    <xf numFmtId="0" fontId="134" fillId="0" borderId="3" xfId="0" applyFont="1" applyFill="1" applyBorder="1" applyAlignment="1" applyProtection="1">
      <alignment vertical="center" wrapText="1" shrinkToFit="1"/>
      <protection locked="0"/>
    </xf>
    <xf numFmtId="177" fontId="184" fillId="0" borderId="1" xfId="0" applyNumberFormat="1" applyFont="1" applyFill="1" applyBorder="1" applyAlignment="1" applyProtection="1">
      <alignment horizontal="center" vertical="center" wrapText="1" shrinkToFit="1"/>
      <protection locked="0"/>
    </xf>
    <xf numFmtId="0" fontId="142" fillId="0" borderId="1" xfId="0" applyFont="1" applyFill="1" applyBorder="1" applyAlignment="1">
      <alignment horizontal="center" vertical="center"/>
    </xf>
    <xf numFmtId="177" fontId="185" fillId="0" borderId="1" xfId="0" applyNumberFormat="1" applyFont="1" applyFill="1" applyBorder="1" applyAlignment="1" applyProtection="1">
      <alignment horizontal="center" vertical="center" wrapText="1" shrinkToFit="1"/>
      <protection locked="0"/>
    </xf>
    <xf numFmtId="58" fontId="134" fillId="0" borderId="3" xfId="0" applyNumberFormat="1" applyFont="1" applyFill="1" applyBorder="1" applyAlignment="1" applyProtection="1">
      <alignment vertical="center" wrapText="1" shrinkToFit="1"/>
      <protection locked="0"/>
    </xf>
    <xf numFmtId="0" fontId="134" fillId="0" borderId="4" xfId="0" applyFont="1" applyFill="1" applyBorder="1" applyAlignment="1" applyProtection="1">
      <alignment horizontal="center" vertical="center" wrapText="1" shrinkToFit="1"/>
      <protection locked="0"/>
    </xf>
    <xf numFmtId="180" fontId="134" fillId="0" borderId="1" xfId="0" applyNumberFormat="1" applyFont="1" applyFill="1" applyBorder="1" applyAlignment="1" applyProtection="1">
      <alignment horizontal="center" vertical="center"/>
      <protection locked="0"/>
    </xf>
    <xf numFmtId="187" fontId="134" fillId="24" borderId="1" xfId="0" applyNumberFormat="1" applyFont="1" applyFill="1" applyBorder="1" applyAlignment="1" applyProtection="1">
      <alignment horizontal="center" vertical="center"/>
      <protection locked="0"/>
    </xf>
    <xf numFmtId="187" fontId="134" fillId="3" borderId="1" xfId="0" applyNumberFormat="1" applyFont="1" applyFill="1" applyBorder="1" applyAlignment="1" applyProtection="1">
      <alignment horizontal="center" vertical="center"/>
      <protection locked="0"/>
    </xf>
    <xf numFmtId="0" fontId="134" fillId="4" borderId="1" xfId="0" applyFont="1" applyFill="1" applyBorder="1" applyAlignment="1" applyProtection="1">
      <alignment horizontal="center" vertical="center" wrapText="1" shrinkToFit="1"/>
      <protection locked="0"/>
    </xf>
    <xf numFmtId="0" fontId="18" fillId="3" borderId="1" xfId="0" applyFont="1" applyFill="1" applyBorder="1" applyAlignment="1" applyProtection="1">
      <alignment horizontal="center" vertical="center" wrapText="1" shrinkToFit="1"/>
      <protection locked="0"/>
    </xf>
    <xf numFmtId="0" fontId="169" fillId="0" borderId="2" xfId="0" applyFont="1" applyFill="1" applyBorder="1" applyAlignment="1" applyProtection="1">
      <alignment horizontal="center" vertical="center" wrapText="1" shrinkToFit="1"/>
      <protection locked="0"/>
    </xf>
    <xf numFmtId="177" fontId="178" fillId="0" borderId="2" xfId="0" applyNumberFormat="1" applyFont="1" applyFill="1" applyBorder="1" applyAlignment="1" applyProtection="1">
      <alignment horizontal="center" vertical="center" shrinkToFit="1"/>
    </xf>
    <xf numFmtId="0" fontId="170" fillId="0" borderId="2" xfId="0" applyFont="1" applyFill="1" applyBorder="1" applyAlignment="1" applyProtection="1">
      <alignment horizontal="center" vertical="center" wrapText="1"/>
      <protection locked="0"/>
    </xf>
    <xf numFmtId="181" fontId="186" fillId="0" borderId="2" xfId="0" applyNumberFormat="1" applyFont="1" applyFill="1" applyBorder="1" applyAlignment="1" applyProtection="1">
      <alignment horizontal="center" vertical="center" wrapText="1"/>
      <protection locked="0"/>
    </xf>
    <xf numFmtId="0" fontId="170" fillId="0" borderId="2" xfId="0" applyNumberFormat="1" applyFont="1" applyFill="1" applyBorder="1" applyAlignment="1" applyProtection="1">
      <alignment horizontal="center" vertical="center"/>
      <protection locked="0"/>
    </xf>
    <xf numFmtId="0" fontId="151" fillId="4" borderId="1" xfId="0" applyFont="1" applyFill="1" applyBorder="1" applyAlignment="1" applyProtection="1">
      <alignment horizontal="center" vertical="center" wrapText="1" shrinkToFit="1"/>
      <protection locked="0"/>
    </xf>
    <xf numFmtId="0" fontId="18" fillId="3" borderId="1" xfId="0" applyFont="1" applyFill="1" applyBorder="1" applyAlignment="1" applyProtection="1">
      <alignment horizontal="center" vertical="center" wrapText="1"/>
      <protection locked="0"/>
    </xf>
    <xf numFmtId="0" fontId="5" fillId="4" borderId="1" xfId="0" applyFont="1" applyFill="1" applyBorder="1" applyAlignment="1" applyProtection="1">
      <alignment horizontal="center" vertical="center" wrapText="1"/>
      <protection locked="0"/>
    </xf>
    <xf numFmtId="0" fontId="136" fillId="4" borderId="1" xfId="0" applyFont="1" applyFill="1" applyBorder="1" applyAlignment="1" applyProtection="1">
      <alignment horizontal="center" vertical="center"/>
      <protection locked="0"/>
    </xf>
    <xf numFmtId="0" fontId="0" fillId="0" borderId="1" xfId="0" applyFont="1" applyFill="1" applyBorder="1" applyAlignment="1" applyProtection="1">
      <alignment horizontal="center" vertical="center"/>
      <protection locked="0"/>
    </xf>
    <xf numFmtId="176" fontId="180" fillId="0" borderId="1" xfId="0" applyNumberFormat="1" applyFont="1" applyFill="1" applyBorder="1" applyAlignment="1" applyProtection="1">
      <alignment horizontal="center" vertical="center" wrapText="1" shrinkToFit="1"/>
    </xf>
    <xf numFmtId="0" fontId="180" fillId="0" borderId="2" xfId="0" applyFont="1" applyFill="1" applyBorder="1" applyAlignment="1" applyProtection="1">
      <alignment horizontal="center" vertical="center" wrapText="1" shrinkToFit="1"/>
      <protection locked="0"/>
    </xf>
    <xf numFmtId="0" fontId="180" fillId="0" borderId="2" xfId="0" applyFont="1" applyFill="1" applyBorder="1" applyAlignment="1" applyProtection="1">
      <alignment horizontal="center" vertical="center"/>
      <protection locked="0"/>
    </xf>
    <xf numFmtId="0" fontId="180" fillId="0" borderId="1" xfId="0" applyFont="1" applyFill="1" applyBorder="1" applyAlignment="1" applyProtection="1">
      <alignment horizontal="center" vertical="center" wrapText="1" shrinkToFit="1"/>
      <protection locked="0"/>
    </xf>
    <xf numFmtId="49" fontId="0" fillId="0" borderId="1" xfId="0" applyNumberFormat="1" applyFont="1" applyFill="1" applyBorder="1" applyAlignment="1" applyProtection="1">
      <alignment horizontal="center" vertical="center" wrapText="1" shrinkToFit="1"/>
      <protection locked="0"/>
    </xf>
    <xf numFmtId="176" fontId="5" fillId="3" borderId="1" xfId="0" applyNumberFormat="1" applyFont="1" applyFill="1" applyBorder="1" applyAlignment="1" applyProtection="1">
      <alignment horizontal="center" vertical="center" wrapText="1" shrinkToFit="1"/>
    </xf>
    <xf numFmtId="0" fontId="5" fillId="3" borderId="2" xfId="0" applyFont="1" applyFill="1" applyBorder="1" applyAlignment="1" applyProtection="1">
      <alignment horizontal="center" vertical="center"/>
      <protection locked="0"/>
    </xf>
    <xf numFmtId="49" fontId="169" fillId="3" borderId="1" xfId="0" applyNumberFormat="1" applyFont="1" applyFill="1" applyBorder="1" applyAlignment="1" applyProtection="1">
      <alignment horizontal="center" vertical="center" wrapText="1" shrinkToFit="1"/>
      <protection locked="0"/>
    </xf>
    <xf numFmtId="58" fontId="5" fillId="0" borderId="1" xfId="0" applyNumberFormat="1" applyFont="1" applyFill="1" applyBorder="1" applyAlignment="1" applyProtection="1">
      <alignment horizontal="center" vertical="center" wrapText="1" shrinkToFit="1"/>
      <protection locked="0"/>
    </xf>
    <xf numFmtId="0" fontId="0" fillId="0" borderId="1" xfId="0" applyFont="1" applyFill="1" applyBorder="1" applyAlignment="1" applyProtection="1">
      <alignment horizontal="center" vertical="center" wrapText="1" shrinkToFit="1"/>
      <protection locked="0"/>
    </xf>
    <xf numFmtId="180" fontId="0" fillId="0" borderId="1" xfId="0" applyNumberFormat="1" applyFont="1" applyFill="1" applyBorder="1" applyAlignment="1" applyProtection="1">
      <alignment horizontal="center" vertical="center" wrapText="1" shrinkToFit="1"/>
      <protection locked="0"/>
    </xf>
    <xf numFmtId="177" fontId="180" fillId="0" borderId="1" xfId="0" applyNumberFormat="1" applyFont="1" applyFill="1" applyBorder="1" applyAlignment="1" applyProtection="1">
      <alignment horizontal="center" vertical="center" wrapText="1" shrinkToFit="1"/>
      <protection locked="0"/>
    </xf>
    <xf numFmtId="0" fontId="0" fillId="0" borderId="1" xfId="0" applyNumberFormat="1" applyFont="1" applyFill="1" applyBorder="1" applyAlignment="1" applyProtection="1">
      <alignment horizontal="center" vertical="center" wrapText="1" shrinkToFit="1"/>
      <protection locked="0"/>
    </xf>
    <xf numFmtId="3" fontId="169" fillId="0" borderId="1" xfId="0" applyNumberFormat="1" applyFont="1" applyFill="1" applyBorder="1" applyAlignment="1" applyProtection="1">
      <alignment horizontal="center" vertical="center" wrapText="1" shrinkToFit="1"/>
      <protection locked="0"/>
    </xf>
    <xf numFmtId="3" fontId="169" fillId="3" borderId="1" xfId="0" applyNumberFormat="1" applyFont="1" applyFill="1" applyBorder="1" applyAlignment="1" applyProtection="1">
      <alignment horizontal="center" vertical="center" wrapText="1" shrinkToFit="1"/>
      <protection locked="0"/>
    </xf>
    <xf numFmtId="180" fontId="169" fillId="3" borderId="1" xfId="0" applyNumberFormat="1" applyFont="1" applyFill="1" applyBorder="1" applyAlignment="1" applyProtection="1">
      <alignment horizontal="center" vertical="center" wrapText="1" shrinkToFit="1"/>
      <protection locked="0"/>
    </xf>
    <xf numFmtId="58" fontId="5" fillId="3" borderId="1" xfId="0" applyNumberFormat="1" applyFont="1" applyFill="1" applyBorder="1" applyAlignment="1" applyProtection="1">
      <alignment horizontal="center" vertical="center" wrapText="1" shrinkToFit="1"/>
      <protection locked="0"/>
    </xf>
    <xf numFmtId="0" fontId="169" fillId="3" borderId="1" xfId="0" applyNumberFormat="1" applyFont="1" applyFill="1" applyBorder="1" applyAlignment="1" applyProtection="1">
      <alignment horizontal="center" vertical="center" wrapText="1" shrinkToFit="1"/>
      <protection locked="0"/>
    </xf>
    <xf numFmtId="181" fontId="180" fillId="0" borderId="2" xfId="0" applyNumberFormat="1" applyFont="1" applyFill="1" applyBorder="1" applyAlignment="1" applyProtection="1">
      <alignment horizontal="center" vertical="center" wrapText="1" shrinkToFit="1"/>
      <protection locked="0"/>
    </xf>
    <xf numFmtId="0" fontId="180" fillId="0" borderId="1" xfId="0" applyFont="1" applyFill="1" applyBorder="1" applyAlignment="1" applyProtection="1">
      <alignment horizontal="center" vertical="center" wrapText="1"/>
      <protection locked="0"/>
    </xf>
    <xf numFmtId="177" fontId="0" fillId="0" borderId="1" xfId="0" applyNumberFormat="1" applyFont="1" applyFill="1" applyBorder="1" applyAlignment="1" applyProtection="1">
      <alignment horizontal="center" vertical="center" wrapText="1" shrinkToFit="1"/>
      <protection locked="0"/>
    </xf>
    <xf numFmtId="183" fontId="0" fillId="0" borderId="1" xfId="0" applyNumberFormat="1" applyFont="1" applyFill="1" applyBorder="1" applyAlignment="1" applyProtection="1">
      <alignment horizontal="center" vertical="center" wrapText="1" shrinkToFit="1"/>
      <protection locked="0"/>
    </xf>
    <xf numFmtId="179" fontId="0" fillId="0" borderId="1" xfId="0" applyNumberFormat="1" applyFont="1" applyFill="1" applyBorder="1" applyAlignment="1" applyProtection="1">
      <alignment horizontal="center" vertical="center" wrapText="1" shrinkToFit="1"/>
      <protection locked="0"/>
    </xf>
    <xf numFmtId="181" fontId="5" fillId="3" borderId="2" xfId="0" applyNumberFormat="1" applyFont="1" applyFill="1" applyBorder="1" applyAlignment="1" applyProtection="1">
      <alignment horizontal="center" vertical="center" wrapText="1" shrinkToFit="1"/>
      <protection locked="0"/>
    </xf>
    <xf numFmtId="177" fontId="169" fillId="3" borderId="1" xfId="0" applyNumberFormat="1" applyFont="1" applyFill="1" applyBorder="1" applyAlignment="1" applyProtection="1">
      <alignment horizontal="center" vertical="center" wrapText="1" shrinkToFit="1"/>
      <protection locked="0"/>
    </xf>
    <xf numFmtId="183" fontId="169" fillId="3" borderId="1" xfId="0" applyNumberFormat="1" applyFont="1" applyFill="1" applyBorder="1" applyAlignment="1" applyProtection="1">
      <alignment horizontal="center" vertical="center" wrapText="1" shrinkToFit="1"/>
      <protection locked="0"/>
    </xf>
    <xf numFmtId="179" fontId="169" fillId="3" borderId="1" xfId="0" applyNumberFormat="1" applyFont="1" applyFill="1" applyBorder="1" applyAlignment="1" applyProtection="1">
      <alignment horizontal="center" vertical="center" wrapText="1" shrinkToFit="1"/>
      <protection locked="0"/>
    </xf>
    <xf numFmtId="0" fontId="180" fillId="0" borderId="3" xfId="0" applyNumberFormat="1" applyFont="1" applyFill="1" applyBorder="1" applyAlignment="1" applyProtection="1">
      <alignment horizontal="center" vertical="center" wrapText="1" shrinkToFit="1"/>
      <protection locked="0"/>
    </xf>
    <xf numFmtId="0" fontId="180" fillId="0" borderId="3" xfId="0" applyFont="1" applyFill="1" applyBorder="1" applyAlignment="1" applyProtection="1">
      <alignment vertical="center" wrapText="1" shrinkToFit="1"/>
      <protection locked="0"/>
    </xf>
    <xf numFmtId="0" fontId="5" fillId="3" borderId="3" xfId="0" applyNumberFormat="1" applyFont="1" applyFill="1" applyBorder="1" applyAlignment="1" applyProtection="1">
      <alignment horizontal="center" vertical="center" wrapText="1" shrinkToFit="1"/>
      <protection locked="0"/>
    </xf>
    <xf numFmtId="0" fontId="5" fillId="3" borderId="3" xfId="0" applyFont="1" applyFill="1" applyBorder="1" applyAlignment="1" applyProtection="1">
      <alignment vertical="center" wrapText="1" shrinkToFit="1"/>
      <protection locked="0"/>
    </xf>
    <xf numFmtId="0" fontId="5" fillId="0" borderId="4" xfId="0" applyFont="1" applyFill="1" applyBorder="1" applyAlignment="1" applyProtection="1">
      <alignment horizontal="center" vertical="center" wrapText="1" shrinkToFit="1"/>
      <protection locked="0"/>
    </xf>
    <xf numFmtId="187" fontId="180" fillId="0" borderId="1" xfId="0" applyNumberFormat="1" applyFont="1" applyFill="1" applyBorder="1" applyAlignment="1" applyProtection="1">
      <alignment horizontal="center" vertical="center"/>
      <protection locked="0"/>
    </xf>
    <xf numFmtId="187" fontId="5" fillId="4" borderId="1" xfId="0" applyNumberFormat="1" applyFont="1" applyFill="1" applyBorder="1" applyAlignment="1" applyProtection="1">
      <alignment horizontal="center" vertical="center"/>
      <protection locked="0"/>
    </xf>
    <xf numFmtId="187" fontId="180" fillId="4" borderId="1" xfId="0" applyNumberFormat="1" applyFont="1" applyFill="1" applyBorder="1" applyAlignment="1" applyProtection="1">
      <alignment horizontal="center" vertical="center"/>
      <protection locked="0"/>
    </xf>
    <xf numFmtId="187" fontId="135" fillId="4" borderId="1" xfId="0" applyNumberFormat="1" applyFont="1" applyFill="1" applyBorder="1" applyAlignment="1" applyProtection="1">
      <alignment horizontal="center" vertical="center"/>
      <protection locked="0"/>
    </xf>
    <xf numFmtId="187" fontId="135" fillId="3" borderId="1" xfId="0" applyNumberFormat="1" applyFont="1" applyFill="1" applyBorder="1" applyAlignment="1" applyProtection="1">
      <alignment horizontal="center" vertical="center"/>
      <protection locked="0"/>
    </xf>
    <xf numFmtId="180" fontId="180" fillId="0" borderId="1" xfId="0" applyNumberFormat="1" applyFont="1" applyFill="1" applyBorder="1" applyAlignment="1" applyProtection="1">
      <alignment horizontal="center" vertical="center"/>
      <protection locked="0"/>
    </xf>
    <xf numFmtId="180" fontId="5" fillId="4" borderId="1" xfId="0" applyNumberFormat="1" applyFont="1" applyFill="1" applyBorder="1" applyAlignment="1" applyProtection="1">
      <alignment horizontal="center" vertical="center"/>
      <protection locked="0"/>
    </xf>
    <xf numFmtId="180" fontId="180" fillId="4" borderId="1" xfId="0" applyNumberFormat="1" applyFont="1" applyFill="1" applyBorder="1" applyAlignment="1" applyProtection="1">
      <alignment horizontal="center" vertical="center"/>
      <protection locked="0"/>
    </xf>
    <xf numFmtId="180" fontId="5" fillId="3" borderId="1" xfId="0" applyNumberFormat="1" applyFont="1" applyFill="1" applyBorder="1" applyAlignment="1" applyProtection="1">
      <alignment horizontal="center" vertical="center"/>
      <protection locked="0"/>
    </xf>
    <xf numFmtId="0" fontId="187" fillId="0" borderId="0" xfId="0" applyFont="1" applyFill="1" applyAlignment="1" applyProtection="1">
      <alignment horizontal="center" vertical="center"/>
      <protection locked="0"/>
    </xf>
    <xf numFmtId="0" fontId="121" fillId="0" borderId="1" xfId="0" applyFont="1" applyFill="1" applyBorder="1" applyAlignment="1" applyProtection="1">
      <alignment horizontal="center" vertical="center"/>
      <protection locked="0"/>
    </xf>
    <xf numFmtId="0" fontId="18" fillId="2" borderId="1" xfId="0" applyFont="1" applyFill="1" applyBorder="1" applyAlignment="1" applyProtection="1">
      <alignment horizontal="center" vertical="center"/>
      <protection locked="0"/>
    </xf>
    <xf numFmtId="0" fontId="135" fillId="2" borderId="1" xfId="0" applyFont="1" applyFill="1" applyBorder="1" applyAlignment="1" applyProtection="1">
      <alignment horizontal="center" vertical="center"/>
      <protection locked="0"/>
    </xf>
    <xf numFmtId="176" fontId="124" fillId="0" borderId="1" xfId="0" applyNumberFormat="1" applyFont="1" applyFill="1" applyBorder="1" applyAlignment="1" applyProtection="1">
      <alignment horizontal="center" vertical="center" wrapText="1" shrinkToFit="1"/>
    </xf>
    <xf numFmtId="0" fontId="124" fillId="0" borderId="1" xfId="0" applyFont="1" applyFill="1" applyBorder="1" applyAlignment="1" applyProtection="1">
      <alignment horizontal="center" vertical="center" wrapText="1" shrinkToFit="1"/>
      <protection locked="0"/>
    </xf>
    <xf numFmtId="49" fontId="124" fillId="0" borderId="1" xfId="0" applyNumberFormat="1" applyFont="1" applyFill="1" applyBorder="1" applyAlignment="1" applyProtection="1">
      <alignment horizontal="center" vertical="center" wrapText="1" shrinkToFit="1"/>
      <protection locked="0"/>
    </xf>
    <xf numFmtId="177" fontId="188" fillId="2" borderId="3" xfId="0" applyNumberFormat="1" applyFont="1" applyFill="1" applyBorder="1" applyAlignment="1" applyProtection="1">
      <alignment horizontal="center" vertical="center" shrinkToFit="1"/>
    </xf>
    <xf numFmtId="0" fontId="136" fillId="2" borderId="3" xfId="0" applyFont="1" applyFill="1" applyBorder="1" applyAlignment="1" applyProtection="1">
      <alignment horizontal="center" vertical="center" wrapText="1"/>
      <protection locked="0"/>
    </xf>
    <xf numFmtId="0" fontId="136" fillId="2" borderId="3" xfId="0" applyFont="1" applyFill="1" applyBorder="1" applyAlignment="1" applyProtection="1">
      <alignment horizontal="center" vertical="center" wrapText="1" shrinkToFit="1"/>
      <protection locked="0"/>
    </xf>
    <xf numFmtId="0" fontId="142" fillId="2" borderId="3" xfId="0" applyNumberFormat="1" applyFont="1" applyFill="1" applyBorder="1" applyAlignment="1" applyProtection="1">
      <alignment horizontal="center" vertical="center" shrinkToFit="1"/>
      <protection locked="0"/>
    </xf>
    <xf numFmtId="0" fontId="150" fillId="2" borderId="3" xfId="0" applyNumberFormat="1" applyFont="1" applyFill="1" applyBorder="1" applyAlignment="1" applyProtection="1">
      <alignment horizontal="center" vertical="center" wrapText="1"/>
      <protection locked="0"/>
    </xf>
    <xf numFmtId="49" fontId="136" fillId="2" borderId="1" xfId="0" applyNumberFormat="1" applyFont="1" applyFill="1" applyBorder="1" applyAlignment="1" applyProtection="1">
      <alignment horizontal="center" vertical="center" wrapText="1" shrinkToFit="1"/>
      <protection locked="0"/>
    </xf>
    <xf numFmtId="0" fontId="136" fillId="2" borderId="1" xfId="0" applyFont="1" applyFill="1" applyBorder="1" applyAlignment="1" applyProtection="1">
      <alignment horizontal="center" vertical="center" wrapText="1" shrinkToFit="1"/>
      <protection locked="0"/>
    </xf>
    <xf numFmtId="177" fontId="189" fillId="2" borderId="3" xfId="0" applyNumberFormat="1" applyFont="1" applyFill="1" applyBorder="1" applyAlignment="1" applyProtection="1">
      <alignment horizontal="center" vertical="center" shrinkToFit="1"/>
    </xf>
    <xf numFmtId="0" fontId="166" fillId="2" borderId="3" xfId="0" applyFont="1" applyFill="1" applyBorder="1" applyAlignment="1" applyProtection="1">
      <alignment horizontal="center" vertical="center" wrapText="1"/>
      <protection locked="0"/>
    </xf>
    <xf numFmtId="0" fontId="166" fillId="2" borderId="3" xfId="0" applyFont="1" applyFill="1" applyBorder="1" applyAlignment="1" applyProtection="1">
      <alignment horizontal="center" vertical="center" wrapText="1" shrinkToFit="1"/>
      <protection locked="0"/>
    </xf>
    <xf numFmtId="0" fontId="167" fillId="2" borderId="3" xfId="0" applyNumberFormat="1" applyFont="1" applyFill="1" applyBorder="1" applyAlignment="1" applyProtection="1">
      <alignment horizontal="center" vertical="center" shrinkToFit="1"/>
      <protection locked="0"/>
    </xf>
    <xf numFmtId="0" fontId="190" fillId="2" borderId="3" xfId="0" applyNumberFormat="1" applyFont="1" applyFill="1" applyBorder="1" applyAlignment="1" applyProtection="1">
      <alignment horizontal="center" vertical="center" wrapText="1"/>
      <protection locked="0"/>
    </xf>
    <xf numFmtId="49" fontId="166" fillId="2" borderId="1" xfId="0" applyNumberFormat="1" applyFont="1" applyFill="1" applyBorder="1" applyAlignment="1" applyProtection="1">
      <alignment horizontal="center" vertical="center" wrapText="1" shrinkToFit="1"/>
      <protection locked="0"/>
    </xf>
    <xf numFmtId="0" fontId="166" fillId="2" borderId="1" xfId="0" applyFont="1" applyFill="1" applyBorder="1" applyAlignment="1" applyProtection="1">
      <alignment horizontal="center" vertical="center" wrapText="1" shrinkToFit="1"/>
      <protection locked="0"/>
    </xf>
    <xf numFmtId="176" fontId="135" fillId="0" borderId="3" xfId="0" applyNumberFormat="1" applyFont="1" applyFill="1" applyBorder="1" applyAlignment="1" applyProtection="1">
      <alignment horizontal="center" vertical="center" wrapText="1" shrinkToFit="1"/>
    </xf>
    <xf numFmtId="0" fontId="135" fillId="0" borderId="3" xfId="0" applyFont="1" applyFill="1" applyBorder="1" applyAlignment="1" applyProtection="1">
      <alignment horizontal="center" vertical="center" wrapText="1"/>
      <protection locked="0"/>
    </xf>
    <xf numFmtId="0" fontId="135" fillId="0" borderId="3" xfId="0" applyFont="1" applyFill="1" applyBorder="1" applyAlignment="1" applyProtection="1">
      <alignment horizontal="center" vertical="center"/>
      <protection locked="0"/>
    </xf>
    <xf numFmtId="49" fontId="135" fillId="0" borderId="1" xfId="0" applyNumberFormat="1" applyFont="1" applyFill="1" applyBorder="1" applyAlignment="1" applyProtection="1">
      <alignment horizontal="center" vertical="center" wrapText="1" shrinkToFit="1"/>
      <protection locked="0"/>
    </xf>
    <xf numFmtId="177" fontId="124" fillId="0" borderId="1" xfId="0" applyNumberFormat="1" applyFont="1" applyFill="1" applyBorder="1" applyAlignment="1" applyProtection="1">
      <alignment horizontal="center" vertical="center" wrapText="1" shrinkToFit="1"/>
      <protection locked="0"/>
    </xf>
    <xf numFmtId="0" fontId="124" fillId="0" borderId="1" xfId="0" applyNumberFormat="1" applyFont="1" applyFill="1" applyBorder="1" applyAlignment="1" applyProtection="1">
      <alignment horizontal="center" vertical="center" wrapText="1" shrinkToFit="1"/>
      <protection locked="0"/>
    </xf>
    <xf numFmtId="180" fontId="136" fillId="2" borderId="1" xfId="0" applyNumberFormat="1" applyFont="1" applyFill="1" applyBorder="1" applyAlignment="1" applyProtection="1">
      <alignment horizontal="center" vertical="center" wrapText="1" shrinkToFit="1"/>
      <protection locked="0"/>
    </xf>
    <xf numFmtId="177" fontId="18" fillId="2" borderId="1" xfId="0" applyNumberFormat="1" applyFont="1" applyFill="1" applyBorder="1" applyAlignment="1" applyProtection="1">
      <alignment horizontal="center" vertical="center" wrapText="1" shrinkToFit="1"/>
      <protection locked="0"/>
    </xf>
    <xf numFmtId="0" fontId="18" fillId="2" borderId="1" xfId="0" applyNumberFormat="1" applyFont="1" applyFill="1" applyBorder="1" applyAlignment="1" applyProtection="1">
      <alignment horizontal="center" vertical="center" wrapText="1" shrinkToFit="1"/>
      <protection locked="0"/>
    </xf>
    <xf numFmtId="0" fontId="176" fillId="2" borderId="1" xfId="0" applyNumberFormat="1" applyFont="1" applyFill="1" applyBorder="1" applyAlignment="1" applyProtection="1">
      <alignment horizontal="center" vertical="center" wrapText="1" shrinkToFit="1"/>
      <protection locked="0"/>
    </xf>
    <xf numFmtId="180" fontId="166" fillId="2" borderId="1" xfId="0" applyNumberFormat="1" applyFont="1" applyFill="1" applyBorder="1" applyAlignment="1" applyProtection="1">
      <alignment horizontal="center" vertical="center" wrapText="1" shrinkToFit="1"/>
      <protection locked="0"/>
    </xf>
    <xf numFmtId="177" fontId="135" fillId="2" borderId="1" xfId="0" applyNumberFormat="1" applyFont="1" applyFill="1" applyBorder="1" applyAlignment="1" applyProtection="1">
      <alignment horizontal="center" vertical="center" wrapText="1" shrinkToFit="1"/>
      <protection locked="0"/>
    </xf>
    <xf numFmtId="0" fontId="135" fillId="2" borderId="1" xfId="0" applyNumberFormat="1" applyFont="1" applyFill="1" applyBorder="1" applyAlignment="1" applyProtection="1">
      <alignment horizontal="center" vertical="center" wrapText="1" shrinkToFit="1"/>
      <protection locked="0"/>
    </xf>
    <xf numFmtId="0" fontId="166" fillId="2" borderId="1" xfId="0" applyNumberFormat="1" applyFont="1" applyFill="1" applyBorder="1" applyAlignment="1" applyProtection="1">
      <alignment horizontal="center" vertical="center" wrapText="1" shrinkToFit="1"/>
      <protection locked="0"/>
    </xf>
    <xf numFmtId="181" fontId="124" fillId="0" borderId="1" xfId="0" applyNumberFormat="1" applyFont="1" applyFill="1" applyBorder="1" applyAlignment="1" applyProtection="1">
      <alignment horizontal="center" vertical="center" wrapText="1" shrinkToFit="1"/>
      <protection locked="0"/>
    </xf>
    <xf numFmtId="178" fontId="191" fillId="0" borderId="1" xfId="0" applyNumberFormat="1" applyFont="1" applyFill="1" applyBorder="1" applyAlignment="1" applyProtection="1">
      <alignment horizontal="center" vertical="center" wrapText="1" shrinkToFit="1"/>
      <protection locked="0"/>
    </xf>
    <xf numFmtId="179" fontId="191" fillId="0" borderId="1" xfId="0" applyNumberFormat="1" applyFont="1" applyFill="1" applyBorder="1" applyAlignment="1" applyProtection="1">
      <alignment horizontal="center" vertical="center" wrapText="1" shrinkToFit="1"/>
      <protection locked="0"/>
    </xf>
    <xf numFmtId="0" fontId="18" fillId="2" borderId="1" xfId="0" applyFont="1" applyFill="1" applyBorder="1" applyAlignment="1" applyProtection="1">
      <alignment horizontal="center" vertical="center" wrapText="1" shrinkToFit="1"/>
      <protection locked="0"/>
    </xf>
    <xf numFmtId="181" fontId="136" fillId="2" borderId="1" xfId="0" applyNumberFormat="1" applyFont="1" applyFill="1" applyBorder="1" applyAlignment="1" applyProtection="1">
      <alignment horizontal="center" vertical="center" wrapText="1" shrinkToFit="1"/>
      <protection locked="0"/>
    </xf>
    <xf numFmtId="0" fontId="136" fillId="2" borderId="1" xfId="0" applyFont="1" applyFill="1" applyBorder="1" applyAlignment="1" applyProtection="1">
      <alignment horizontal="center" vertical="center" wrapText="1"/>
      <protection locked="0"/>
    </xf>
    <xf numFmtId="0" fontId="150" fillId="2" borderId="1" xfId="0" applyNumberFormat="1" applyFont="1" applyFill="1" applyBorder="1" applyAlignment="1" applyProtection="1">
      <alignment horizontal="center" vertical="center" wrapText="1"/>
      <protection locked="0"/>
    </xf>
    <xf numFmtId="183" fontId="136" fillId="2" borderId="1" xfId="0" applyNumberFormat="1" applyFont="1" applyFill="1" applyBorder="1" applyAlignment="1" applyProtection="1">
      <alignment horizontal="center" vertical="center" wrapText="1" shrinkToFit="1"/>
      <protection locked="0"/>
    </xf>
    <xf numFmtId="179" fontId="136" fillId="2" borderId="1" xfId="0" applyNumberFormat="1" applyFont="1" applyFill="1" applyBorder="1" applyAlignment="1" applyProtection="1">
      <alignment horizontal="center" vertical="center" wrapText="1" shrinkToFit="1"/>
      <protection locked="0"/>
    </xf>
    <xf numFmtId="0" fontId="135" fillId="2" borderId="1" xfId="0" applyFont="1" applyFill="1" applyBorder="1" applyAlignment="1" applyProtection="1">
      <alignment horizontal="center" vertical="center" wrapText="1" shrinkToFit="1"/>
      <protection locked="0"/>
    </xf>
    <xf numFmtId="181" fontId="166" fillId="2" borderId="1" xfId="0" applyNumberFormat="1" applyFont="1" applyFill="1" applyBorder="1" applyAlignment="1" applyProtection="1">
      <alignment horizontal="center" vertical="center" wrapText="1" shrinkToFit="1"/>
      <protection locked="0"/>
    </xf>
    <xf numFmtId="0" fontId="166" fillId="2" borderId="1" xfId="0" applyFont="1" applyFill="1" applyBorder="1" applyAlignment="1" applyProtection="1">
      <alignment horizontal="center" vertical="center" wrapText="1"/>
      <protection locked="0"/>
    </xf>
    <xf numFmtId="0" fontId="190" fillId="2" borderId="1" xfId="0" applyNumberFormat="1" applyFont="1" applyFill="1" applyBorder="1" applyAlignment="1" applyProtection="1">
      <alignment horizontal="center" vertical="center" wrapText="1"/>
      <protection locked="0"/>
    </xf>
    <xf numFmtId="183" fontId="166" fillId="2" borderId="1" xfId="0" applyNumberFormat="1" applyFont="1" applyFill="1" applyBorder="1" applyAlignment="1" applyProtection="1">
      <alignment horizontal="center" vertical="center" wrapText="1" shrinkToFit="1"/>
      <protection locked="0"/>
    </xf>
    <xf numFmtId="179" fontId="166" fillId="2" borderId="1" xfId="0" applyNumberFormat="1" applyFont="1" applyFill="1" applyBorder="1" applyAlignment="1" applyProtection="1">
      <alignment horizontal="center" vertical="center" wrapText="1" shrinkToFit="1"/>
      <protection locked="0"/>
    </xf>
    <xf numFmtId="181" fontId="166" fillId="0" borderId="1" xfId="0" applyNumberFormat="1" applyFont="1" applyFill="1" applyBorder="1" applyAlignment="1" applyProtection="1">
      <alignment horizontal="center" vertical="center" wrapText="1" shrinkToFit="1"/>
      <protection locked="0"/>
    </xf>
    <xf numFmtId="0" fontId="166" fillId="0" borderId="1" xfId="0" applyFont="1" applyFill="1" applyBorder="1" applyAlignment="1" applyProtection="1">
      <alignment horizontal="center" vertical="center" wrapText="1"/>
      <protection locked="0"/>
    </xf>
    <xf numFmtId="0" fontId="125" fillId="0" borderId="1" xfId="0" applyFont="1" applyFill="1" applyBorder="1" applyAlignment="1" applyProtection="1">
      <alignment horizontal="center" vertical="center" wrapText="1" shrinkToFit="1"/>
      <protection locked="0"/>
    </xf>
    <xf numFmtId="0" fontId="192" fillId="0" borderId="1" xfId="0" applyNumberFormat="1" applyFont="1" applyFill="1" applyBorder="1" applyAlignment="1" applyProtection="1">
      <alignment horizontal="center" vertical="center" wrapText="1" shrinkToFit="1"/>
      <protection locked="0"/>
    </xf>
    <xf numFmtId="0" fontId="192" fillId="0" borderId="1" xfId="0" applyFont="1" applyFill="1" applyBorder="1" applyAlignment="1" applyProtection="1">
      <alignment horizontal="center" vertical="center" wrapText="1" shrinkToFit="1"/>
      <protection locked="0"/>
    </xf>
    <xf numFmtId="0" fontId="18" fillId="2" borderId="3" xfId="0" applyFont="1" applyFill="1" applyBorder="1" applyAlignment="1" applyProtection="1">
      <alignment horizontal="center" vertical="center" wrapText="1" shrinkToFit="1"/>
      <protection locked="0"/>
    </xf>
    <xf numFmtId="0" fontId="18" fillId="2" borderId="2" xfId="0" applyNumberFormat="1" applyFont="1" applyFill="1" applyBorder="1" applyAlignment="1" applyProtection="1">
      <alignment horizontal="center" vertical="center" wrapText="1" shrinkToFit="1"/>
      <protection locked="0"/>
    </xf>
    <xf numFmtId="0" fontId="18" fillId="2" borderId="2" xfId="0" applyFont="1" applyFill="1" applyBorder="1" applyAlignment="1" applyProtection="1">
      <alignment horizontal="center" vertical="center" wrapText="1" shrinkToFit="1"/>
      <protection locked="0"/>
    </xf>
    <xf numFmtId="0" fontId="135" fillId="2" borderId="3" xfId="0" applyFont="1" applyFill="1" applyBorder="1" applyAlignment="1" applyProtection="1">
      <alignment horizontal="center" vertical="center" wrapText="1" shrinkToFit="1"/>
      <protection locked="0"/>
    </xf>
    <xf numFmtId="0" fontId="135" fillId="2" borderId="2" xfId="0" applyNumberFormat="1" applyFont="1" applyFill="1" applyBorder="1" applyAlignment="1" applyProtection="1">
      <alignment horizontal="center" vertical="center" wrapText="1" shrinkToFit="1"/>
      <protection locked="0"/>
    </xf>
    <xf numFmtId="0" fontId="135" fillId="2" borderId="2" xfId="0" applyFont="1" applyFill="1" applyBorder="1" applyAlignment="1" applyProtection="1">
      <alignment horizontal="center" vertical="center" wrapText="1" shrinkToFit="1"/>
      <protection locked="0"/>
    </xf>
    <xf numFmtId="0" fontId="135" fillId="0" borderId="2" xfId="0" applyNumberFormat="1" applyFont="1" applyFill="1" applyBorder="1" applyAlignment="1" applyProtection="1">
      <alignment horizontal="center" vertical="center" wrapText="1" shrinkToFit="1"/>
      <protection locked="0"/>
    </xf>
    <xf numFmtId="0" fontId="121" fillId="0" borderId="1" xfId="0" applyFont="1" applyFill="1" applyBorder="1" applyAlignment="1" applyProtection="1">
      <alignment horizontal="center" vertical="center" wrapText="1"/>
      <protection locked="0"/>
    </xf>
    <xf numFmtId="181" fontId="18" fillId="2" borderId="3" xfId="0" applyNumberFormat="1" applyFont="1" applyFill="1" applyBorder="1" applyAlignment="1" applyProtection="1">
      <alignment horizontal="center" vertical="center" wrapText="1" shrinkToFit="1"/>
      <protection locked="0"/>
    </xf>
    <xf numFmtId="0" fontId="136" fillId="2" borderId="1" xfId="0" applyFont="1" applyFill="1" applyBorder="1" applyAlignment="1" applyProtection="1">
      <alignment horizontal="center" vertical="center"/>
      <protection locked="0"/>
    </xf>
    <xf numFmtId="181" fontId="135" fillId="2" borderId="3" xfId="0" applyNumberFormat="1" applyFont="1" applyFill="1" applyBorder="1" applyAlignment="1" applyProtection="1">
      <alignment horizontal="center" vertical="center" wrapText="1" shrinkToFit="1"/>
      <protection locked="0"/>
    </xf>
    <xf numFmtId="0" fontId="166" fillId="2" borderId="1" xfId="0" applyFont="1" applyFill="1" applyBorder="1" applyAlignment="1" applyProtection="1">
      <alignment horizontal="center" vertical="center"/>
      <protection locked="0"/>
    </xf>
    <xf numFmtId="0" fontId="176" fillId="0" borderId="0" xfId="0" applyFont="1" applyFill="1" applyAlignment="1" applyProtection="1">
      <alignment horizontal="center" vertical="center"/>
      <protection locked="0"/>
    </xf>
    <xf numFmtId="0" fontId="122" fillId="0" borderId="1" xfId="0" applyFont="1" applyFill="1" applyBorder="1" applyAlignment="1" applyProtection="1">
      <alignment horizontal="center" vertical="center" wrapText="1"/>
      <protection locked="0"/>
    </xf>
    <xf numFmtId="0" fontId="121" fillId="0" borderId="23" xfId="0" applyFont="1" applyFill="1" applyBorder="1" applyAlignment="1" applyProtection="1">
      <alignment horizontal="center" vertical="center" wrapText="1"/>
      <protection locked="0"/>
    </xf>
    <xf numFmtId="180" fontId="0" fillId="0" borderId="1" xfId="0" applyNumberFormat="1" applyFill="1" applyBorder="1" applyAlignment="1" applyProtection="1">
      <alignment horizontal="center" vertical="center"/>
      <protection locked="0"/>
    </xf>
    <xf numFmtId="0" fontId="125" fillId="0" borderId="1" xfId="0" applyFont="1" applyFill="1" applyBorder="1" applyAlignment="1" applyProtection="1">
      <alignment horizontal="center" vertical="center" wrapText="1"/>
      <protection locked="0"/>
    </xf>
    <xf numFmtId="0" fontId="135" fillId="0" borderId="1" xfId="0" applyFont="1" applyFill="1" applyBorder="1" applyAlignment="1" applyProtection="1" quotePrefix="1">
      <alignment horizontal="center" vertical="center" wrapText="1" shrinkToFit="1"/>
      <protection locked="0"/>
    </xf>
    <xf numFmtId="0" fontId="165" fillId="0" borderId="1" xfId="0" applyFont="1" applyFill="1" applyBorder="1" applyAlignment="1" applyProtection="1" quotePrefix="1">
      <alignment horizontal="center" vertical="center" wrapText="1"/>
      <protection locked="0"/>
    </xf>
    <xf numFmtId="0" fontId="134" fillId="0" borderId="1" xfId="0" applyFont="1" applyFill="1" applyBorder="1" applyAlignment="1" applyProtection="1" quotePrefix="1">
      <alignment horizontal="center" vertical="center" wrapText="1" shrinkToFit="1"/>
      <protection locked="0"/>
    </xf>
    <xf numFmtId="0" fontId="18" fillId="0" borderId="1" xfId="0" applyFont="1" applyFill="1" applyBorder="1" applyAlignment="1" applyProtection="1" quotePrefix="1">
      <alignment horizontal="center" vertical="center" wrapText="1" shrinkToFit="1"/>
      <protection locked="0"/>
    </xf>
    <xf numFmtId="0" fontId="5" fillId="0" borderId="1" xfId="0" applyFont="1" applyFill="1" applyBorder="1" applyAlignment="1" applyProtection="1" quotePrefix="1">
      <alignment horizontal="center" vertical="center" wrapText="1" shrinkToFit="1"/>
      <protection locked="0"/>
    </xf>
    <xf numFmtId="0" fontId="180" fillId="0" borderId="1" xfId="0" applyFont="1" applyFill="1" applyBorder="1" applyAlignment="1" applyProtection="1" quotePrefix="1">
      <alignment horizontal="center" vertical="center" wrapText="1" shrinkToFit="1"/>
      <protection locked="0"/>
    </xf>
    <xf numFmtId="0" fontId="180" fillId="0" borderId="1" xfId="0" applyFont="1" applyFill="1" applyBorder="1" applyAlignment="1" applyProtection="1" quotePrefix="1">
      <alignment horizontal="center" vertical="center"/>
      <protection locked="0"/>
    </xf>
    <xf numFmtId="0" fontId="5" fillId="3" borderId="1" xfId="0" applyFont="1" applyFill="1" applyBorder="1" applyAlignment="1" applyProtection="1" quotePrefix="1">
      <alignment horizontal="center" vertical="center" wrapText="1" shrinkToFit="1"/>
      <protection locked="0"/>
    </xf>
    <xf numFmtId="0" fontId="145" fillId="0" borderId="3" xfId="0" applyFont="1" applyFill="1" applyBorder="1" applyAlignment="1" applyProtection="1" quotePrefix="1">
      <alignment horizontal="center" vertical="center" wrapText="1"/>
      <protection locked="0"/>
    </xf>
    <xf numFmtId="0" fontId="168" fillId="4" borderId="1" xfId="0" applyFont="1" applyFill="1" applyBorder="1" applyAlignment="1" applyProtection="1" quotePrefix="1">
      <alignment horizontal="center" vertical="center" wrapText="1"/>
      <protection locked="0"/>
    </xf>
    <xf numFmtId="0" fontId="129" fillId="0" borderId="1" xfId="0" applyFont="1" applyFill="1" applyBorder="1" applyAlignment="1" quotePrefix="1">
      <alignment horizontal="left" vertical="top" wrapText="1"/>
    </xf>
    <xf numFmtId="0" fontId="123" fillId="0" borderId="1" xfId="0" applyFont="1" applyFill="1" applyBorder="1" applyAlignment="1" quotePrefix="1">
      <alignment horizontal="left"/>
    </xf>
  </cellXfs>
  <cellStyles count="5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百分比 2" xfId="49"/>
    <cellStyle name="常规 2 5" xfId="50"/>
    <cellStyle name="常规 3 2" xfId="51"/>
    <cellStyle name="常规 10" xfId="52"/>
    <cellStyle name="20% - 强调文字颜色 4 2 3 117" xfId="53"/>
    <cellStyle name="常规 2" xfId="54"/>
    <cellStyle name="常规 10 2 2 2 2 2 2 2 2" xfId="55"/>
    <cellStyle name="常规 14 2 2 2" xfId="56"/>
    <cellStyle name="常规 5" xfId="57"/>
    <cellStyle name="常规_Sheet1" xfId="58"/>
  </cellStyles>
  <dxfs count="4">
    <dxf>
      <font>
        <color rgb="FF9C0006"/>
      </font>
      <fill>
        <patternFill patternType="solid">
          <bgColor rgb="FFFFC7CE"/>
        </patternFill>
      </fill>
    </dxf>
    <dxf>
      <fill>
        <patternFill patternType="solid">
          <bgColor theme="5" tint="-0.25"/>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00FFFFFF"/>
      <color rgb="003E2CEA"/>
      <color rgb="00010CDD"/>
      <color rgb="002727F0"/>
      <color rgb="000000FF"/>
      <color rgb="000FB7FD"/>
      <color rgb="00FFFF00"/>
      <color rgb="00000000"/>
      <color rgb="00FF0000"/>
      <color rgb="0000B0F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tyles" Target="styles.xml"/><Relationship Id="rId16" Type="http://schemas.openxmlformats.org/officeDocument/2006/relationships/sharedStrings" Target="sharedStrings.xml"/><Relationship Id="rId15" Type="http://schemas.openxmlformats.org/officeDocument/2006/relationships/theme" Target="theme/theme1.xml"/><Relationship Id="rId14" Type="http://schemas.openxmlformats.org/officeDocument/2006/relationships/externalLink" Target="externalLinks/externalLink2.xml"/><Relationship Id="rId13" Type="http://schemas.openxmlformats.org/officeDocument/2006/relationships/externalLink" Target="externalLinks/externalLink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9" Type="http://schemas.openxmlformats.org/officeDocument/2006/relationships/image" Target="../media/image11.png"/><Relationship Id="rId8" Type="http://schemas.openxmlformats.org/officeDocument/2006/relationships/image" Target="../media/image10.png"/><Relationship Id="rId7" Type="http://schemas.openxmlformats.org/officeDocument/2006/relationships/image" Target="../media/image9.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34" Type="http://schemas.openxmlformats.org/officeDocument/2006/relationships/image" Target="../media/image36.png"/><Relationship Id="rId33" Type="http://schemas.openxmlformats.org/officeDocument/2006/relationships/image" Target="../media/image35.png"/><Relationship Id="rId32" Type="http://schemas.openxmlformats.org/officeDocument/2006/relationships/image" Target="../media/image34.png"/><Relationship Id="rId31" Type="http://schemas.openxmlformats.org/officeDocument/2006/relationships/image" Target="../media/image33.png"/><Relationship Id="rId30" Type="http://schemas.openxmlformats.org/officeDocument/2006/relationships/image" Target="../media/image32.png"/><Relationship Id="rId3" Type="http://schemas.openxmlformats.org/officeDocument/2006/relationships/image" Target="../media/image5.png"/><Relationship Id="rId29" Type="http://schemas.openxmlformats.org/officeDocument/2006/relationships/image" Target="../media/image31.png"/><Relationship Id="rId28" Type="http://schemas.openxmlformats.org/officeDocument/2006/relationships/image" Target="../media/image30.png"/><Relationship Id="rId27" Type="http://schemas.openxmlformats.org/officeDocument/2006/relationships/image" Target="../media/image29.png"/><Relationship Id="rId26" Type="http://schemas.openxmlformats.org/officeDocument/2006/relationships/image" Target="../media/image28.png"/><Relationship Id="rId25" Type="http://schemas.openxmlformats.org/officeDocument/2006/relationships/image" Target="../media/image27.png"/><Relationship Id="rId24" Type="http://schemas.openxmlformats.org/officeDocument/2006/relationships/image" Target="../media/image26.png"/><Relationship Id="rId23" Type="http://schemas.openxmlformats.org/officeDocument/2006/relationships/image" Target="../media/image25.png"/><Relationship Id="rId22" Type="http://schemas.openxmlformats.org/officeDocument/2006/relationships/image" Target="../media/image24.png"/><Relationship Id="rId21" Type="http://schemas.openxmlformats.org/officeDocument/2006/relationships/image" Target="../media/image23.png"/><Relationship Id="rId20" Type="http://schemas.openxmlformats.org/officeDocument/2006/relationships/image" Target="../media/image22.png"/><Relationship Id="rId2" Type="http://schemas.openxmlformats.org/officeDocument/2006/relationships/image" Target="../media/image4.png"/><Relationship Id="rId19" Type="http://schemas.openxmlformats.org/officeDocument/2006/relationships/image" Target="../media/image21.png"/><Relationship Id="rId18" Type="http://schemas.openxmlformats.org/officeDocument/2006/relationships/image" Target="../media/image20.png"/><Relationship Id="rId17" Type="http://schemas.openxmlformats.org/officeDocument/2006/relationships/image" Target="../media/image19.png"/><Relationship Id="rId16" Type="http://schemas.openxmlformats.org/officeDocument/2006/relationships/image" Target="../media/image18.png"/><Relationship Id="rId15" Type="http://schemas.openxmlformats.org/officeDocument/2006/relationships/image" Target="../media/image17.png"/><Relationship Id="rId14" Type="http://schemas.openxmlformats.org/officeDocument/2006/relationships/image" Target="../media/image16.png"/><Relationship Id="rId13" Type="http://schemas.openxmlformats.org/officeDocument/2006/relationships/image" Target="../media/image15.png"/><Relationship Id="rId12" Type="http://schemas.openxmlformats.org/officeDocument/2006/relationships/image" Target="../media/image14.png"/><Relationship Id="rId11" Type="http://schemas.openxmlformats.org/officeDocument/2006/relationships/image" Target="../media/image13.png"/><Relationship Id="rId10" Type="http://schemas.openxmlformats.org/officeDocument/2006/relationships/image" Target="../media/image12.pn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9" Type="http://schemas.openxmlformats.org/officeDocument/2006/relationships/image" Target="../media/image45.png"/><Relationship Id="rId8" Type="http://schemas.openxmlformats.org/officeDocument/2006/relationships/image" Target="../media/image44.png"/><Relationship Id="rId7" Type="http://schemas.openxmlformats.org/officeDocument/2006/relationships/image" Target="../media/image43.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 Id="rId36" Type="http://schemas.openxmlformats.org/officeDocument/2006/relationships/image" Target="../media/image72.png"/><Relationship Id="rId35" Type="http://schemas.openxmlformats.org/officeDocument/2006/relationships/image" Target="../media/image71.png"/><Relationship Id="rId34" Type="http://schemas.openxmlformats.org/officeDocument/2006/relationships/image" Target="../media/image70.png"/><Relationship Id="rId33" Type="http://schemas.openxmlformats.org/officeDocument/2006/relationships/image" Target="../media/image69.png"/><Relationship Id="rId32" Type="http://schemas.openxmlformats.org/officeDocument/2006/relationships/image" Target="../media/image68.png"/><Relationship Id="rId31" Type="http://schemas.openxmlformats.org/officeDocument/2006/relationships/image" Target="../media/image67.png"/><Relationship Id="rId30" Type="http://schemas.openxmlformats.org/officeDocument/2006/relationships/image" Target="../media/image66.png"/><Relationship Id="rId3" Type="http://schemas.openxmlformats.org/officeDocument/2006/relationships/image" Target="../media/image39.png"/><Relationship Id="rId29" Type="http://schemas.openxmlformats.org/officeDocument/2006/relationships/image" Target="../media/image65.png"/><Relationship Id="rId28" Type="http://schemas.openxmlformats.org/officeDocument/2006/relationships/image" Target="../media/image64.png"/><Relationship Id="rId27" Type="http://schemas.openxmlformats.org/officeDocument/2006/relationships/image" Target="../media/image63.png"/><Relationship Id="rId26" Type="http://schemas.openxmlformats.org/officeDocument/2006/relationships/image" Target="../media/image62.png"/><Relationship Id="rId25" Type="http://schemas.openxmlformats.org/officeDocument/2006/relationships/image" Target="../media/image61.png"/><Relationship Id="rId24" Type="http://schemas.openxmlformats.org/officeDocument/2006/relationships/image" Target="../media/image60.png"/><Relationship Id="rId23" Type="http://schemas.openxmlformats.org/officeDocument/2006/relationships/image" Target="../media/image59.png"/><Relationship Id="rId22" Type="http://schemas.openxmlformats.org/officeDocument/2006/relationships/image" Target="../media/image58.png"/><Relationship Id="rId21" Type="http://schemas.openxmlformats.org/officeDocument/2006/relationships/image" Target="../media/image57.png"/><Relationship Id="rId20" Type="http://schemas.openxmlformats.org/officeDocument/2006/relationships/image" Target="../media/image56.png"/><Relationship Id="rId2" Type="http://schemas.openxmlformats.org/officeDocument/2006/relationships/image" Target="../media/image38.png"/><Relationship Id="rId19" Type="http://schemas.openxmlformats.org/officeDocument/2006/relationships/image" Target="../media/image55.png"/><Relationship Id="rId18" Type="http://schemas.openxmlformats.org/officeDocument/2006/relationships/image" Target="../media/image54.png"/><Relationship Id="rId17" Type="http://schemas.openxmlformats.org/officeDocument/2006/relationships/image" Target="../media/image53.png"/><Relationship Id="rId16" Type="http://schemas.openxmlformats.org/officeDocument/2006/relationships/image" Target="../media/image52.png"/><Relationship Id="rId15" Type="http://schemas.openxmlformats.org/officeDocument/2006/relationships/image" Target="../media/image51.png"/><Relationship Id="rId14" Type="http://schemas.openxmlformats.org/officeDocument/2006/relationships/image" Target="../media/image50.png"/><Relationship Id="rId13" Type="http://schemas.openxmlformats.org/officeDocument/2006/relationships/image" Target="../media/image49.png"/><Relationship Id="rId12" Type="http://schemas.openxmlformats.org/officeDocument/2006/relationships/image" Target="../media/image48.png"/><Relationship Id="rId11" Type="http://schemas.openxmlformats.org/officeDocument/2006/relationships/image" Target="../media/image47.png"/><Relationship Id="rId10" Type="http://schemas.openxmlformats.org/officeDocument/2006/relationships/image" Target="../media/image46.png"/><Relationship Id="rId1" Type="http://schemas.openxmlformats.org/officeDocument/2006/relationships/image" Target="../media/image3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xdr:colOff>
      <xdr:row>230</xdr:row>
      <xdr:rowOff>28575</xdr:rowOff>
    </xdr:from>
    <xdr:to>
      <xdr:col>4</xdr:col>
      <xdr:colOff>564515</xdr:colOff>
      <xdr:row>236</xdr:row>
      <xdr:rowOff>71755</xdr:rowOff>
    </xdr:to>
    <xdr:pic>
      <xdr:nvPicPr>
        <xdr:cNvPr id="2" name="图片 1"/>
        <xdr:cNvPicPr>
          <a:picLocks noChangeAspect="1"/>
        </xdr:cNvPicPr>
      </xdr:nvPicPr>
      <xdr:blipFill>
        <a:blip r:embed="rId1"/>
        <a:stretch>
          <a:fillRect/>
        </a:stretch>
      </xdr:blipFill>
      <xdr:spPr>
        <a:xfrm>
          <a:off x="635" y="52257325"/>
          <a:ext cx="3510280" cy="107188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xdr:colOff>
      <xdr:row>86</xdr:row>
      <xdr:rowOff>28575</xdr:rowOff>
    </xdr:from>
    <xdr:to>
      <xdr:col>4</xdr:col>
      <xdr:colOff>448310</xdr:colOff>
      <xdr:row>92</xdr:row>
      <xdr:rowOff>71755</xdr:rowOff>
    </xdr:to>
    <xdr:pic>
      <xdr:nvPicPr>
        <xdr:cNvPr id="2" name="图片 1"/>
        <xdr:cNvPicPr>
          <a:picLocks noChangeAspect="1"/>
        </xdr:cNvPicPr>
      </xdr:nvPicPr>
      <xdr:blipFill>
        <a:blip r:embed="rId1"/>
        <a:stretch>
          <a:fillRect/>
        </a:stretch>
      </xdr:blipFill>
      <xdr:spPr>
        <a:xfrm>
          <a:off x="635" y="16983075"/>
          <a:ext cx="3517900" cy="107188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716280</xdr:colOff>
      <xdr:row>44</xdr:row>
      <xdr:rowOff>6350</xdr:rowOff>
    </xdr:from>
    <xdr:to>
      <xdr:col>6</xdr:col>
      <xdr:colOff>716280</xdr:colOff>
      <xdr:row>45</xdr:row>
      <xdr:rowOff>139700</xdr:rowOff>
    </xdr:to>
    <xdr:pic>
      <xdr:nvPicPr>
        <xdr:cNvPr id="20" name="Picture 527" descr="PETsymbol"/>
        <xdr:cNvPicPr>
          <a:picLocks noChangeAspect="1"/>
        </xdr:cNvPicPr>
      </xdr:nvPicPr>
      <xdr:blipFill>
        <a:blip r:embed="rId1"/>
        <a:stretch>
          <a:fillRect/>
        </a:stretch>
      </xdr:blipFill>
      <xdr:spPr>
        <a:xfrm>
          <a:off x="9401175" y="9169400"/>
          <a:ext cx="0" cy="361950"/>
        </a:xfrm>
        <a:prstGeom prst="rect">
          <a:avLst/>
        </a:prstGeom>
        <a:noFill/>
        <a:ln w="9525">
          <a:noFill/>
        </a:ln>
      </xdr:spPr>
    </xdr:pic>
    <xdr:clientData/>
  </xdr:twoCellAnchor>
  <xdr:twoCellAnchor>
    <xdr:from>
      <xdr:col>6</xdr:col>
      <xdr:colOff>716280</xdr:colOff>
      <xdr:row>43</xdr:row>
      <xdr:rowOff>6350</xdr:rowOff>
    </xdr:from>
    <xdr:to>
      <xdr:col>6</xdr:col>
      <xdr:colOff>716280</xdr:colOff>
      <xdr:row>44</xdr:row>
      <xdr:rowOff>139700</xdr:rowOff>
    </xdr:to>
    <xdr:pic>
      <xdr:nvPicPr>
        <xdr:cNvPr id="18" name="Picture 527" descr="PETsymbol"/>
        <xdr:cNvPicPr>
          <a:picLocks noChangeAspect="1"/>
        </xdr:cNvPicPr>
      </xdr:nvPicPr>
      <xdr:blipFill>
        <a:blip r:embed="rId1"/>
        <a:stretch>
          <a:fillRect/>
        </a:stretch>
      </xdr:blipFill>
      <xdr:spPr>
        <a:xfrm>
          <a:off x="9401175" y="8988425"/>
          <a:ext cx="0" cy="31432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1104900</xdr:colOff>
      <xdr:row>40</xdr:row>
      <xdr:rowOff>6350</xdr:rowOff>
    </xdr:from>
    <xdr:to>
      <xdr:col>6</xdr:col>
      <xdr:colOff>1104900</xdr:colOff>
      <xdr:row>41</xdr:row>
      <xdr:rowOff>196850</xdr:rowOff>
    </xdr:to>
    <xdr:pic>
      <xdr:nvPicPr>
        <xdr:cNvPr id="2" name="Picture 527" descr="PETsymbol"/>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0441940" y="958723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15668</xdr:colOff>
      <xdr:row>4</xdr:row>
      <xdr:rowOff>305954</xdr:rowOff>
    </xdr:from>
    <xdr:to>
      <xdr:col>0</xdr:col>
      <xdr:colOff>955468</xdr:colOff>
      <xdr:row>7</xdr:row>
      <xdr:rowOff>140854</xdr:rowOff>
    </xdr:to>
    <xdr:pic>
      <xdr:nvPicPr>
        <xdr:cNvPr id="2" name="图片 1" descr="1669453420179"/>
        <xdr:cNvPicPr>
          <a:picLocks noChangeAspect="1"/>
        </xdr:cNvPicPr>
      </xdr:nvPicPr>
      <xdr:blipFill>
        <a:blip r:embed="rId1"/>
        <a:stretch>
          <a:fillRect/>
        </a:stretch>
      </xdr:blipFill>
      <xdr:spPr>
        <a:xfrm>
          <a:off x="15240" y="1707515"/>
          <a:ext cx="939800" cy="977900"/>
        </a:xfrm>
        <a:prstGeom prst="rect">
          <a:avLst/>
        </a:prstGeom>
      </xdr:spPr>
    </xdr:pic>
    <xdr:clientData/>
  </xdr:twoCellAnchor>
  <xdr:twoCellAnchor editAs="oneCell">
    <xdr:from>
      <xdr:col>0</xdr:col>
      <xdr:colOff>0</xdr:colOff>
      <xdr:row>8</xdr:row>
      <xdr:rowOff>92256</xdr:rowOff>
    </xdr:from>
    <xdr:to>
      <xdr:col>0</xdr:col>
      <xdr:colOff>944880</xdr:colOff>
      <xdr:row>10</xdr:row>
      <xdr:rowOff>294186</xdr:rowOff>
    </xdr:to>
    <xdr:pic>
      <xdr:nvPicPr>
        <xdr:cNvPr id="3" name="图片 2"/>
        <xdr:cNvPicPr>
          <a:picLocks noChangeAspect="1"/>
        </xdr:cNvPicPr>
      </xdr:nvPicPr>
      <xdr:blipFill>
        <a:blip r:embed="rId2"/>
        <a:stretch>
          <a:fillRect/>
        </a:stretch>
      </xdr:blipFill>
      <xdr:spPr>
        <a:xfrm>
          <a:off x="0" y="3018155"/>
          <a:ext cx="944880" cy="963930"/>
        </a:xfrm>
        <a:prstGeom prst="rect">
          <a:avLst/>
        </a:prstGeom>
        <a:noFill/>
        <a:ln w="9525">
          <a:noFill/>
        </a:ln>
      </xdr:spPr>
    </xdr:pic>
    <xdr:clientData/>
  </xdr:twoCellAnchor>
  <xdr:twoCellAnchor editAs="oneCell">
    <xdr:from>
      <xdr:col>0</xdr:col>
      <xdr:colOff>0</xdr:colOff>
      <xdr:row>11</xdr:row>
      <xdr:rowOff>113943</xdr:rowOff>
    </xdr:from>
    <xdr:to>
      <xdr:col>0</xdr:col>
      <xdr:colOff>951230</xdr:colOff>
      <xdr:row>13</xdr:row>
      <xdr:rowOff>369848</xdr:rowOff>
    </xdr:to>
    <xdr:pic>
      <xdr:nvPicPr>
        <xdr:cNvPr id="4" name="图片 3"/>
        <xdr:cNvPicPr>
          <a:picLocks noChangeAspect="1"/>
        </xdr:cNvPicPr>
      </xdr:nvPicPr>
      <xdr:blipFill>
        <a:blip r:embed="rId3"/>
        <a:stretch>
          <a:fillRect/>
        </a:stretch>
      </xdr:blipFill>
      <xdr:spPr>
        <a:xfrm>
          <a:off x="0" y="4182745"/>
          <a:ext cx="951230" cy="1300480"/>
        </a:xfrm>
        <a:prstGeom prst="rect">
          <a:avLst/>
        </a:prstGeom>
        <a:noFill/>
        <a:ln w="9525">
          <a:noFill/>
        </a:ln>
      </xdr:spPr>
    </xdr:pic>
    <xdr:clientData/>
  </xdr:twoCellAnchor>
  <xdr:twoCellAnchor editAs="oneCell">
    <xdr:from>
      <xdr:col>0</xdr:col>
      <xdr:colOff>126010</xdr:colOff>
      <xdr:row>15</xdr:row>
      <xdr:rowOff>308429</xdr:rowOff>
    </xdr:from>
    <xdr:to>
      <xdr:col>0</xdr:col>
      <xdr:colOff>980085</xdr:colOff>
      <xdr:row>16</xdr:row>
      <xdr:rowOff>503374</xdr:rowOff>
    </xdr:to>
    <xdr:pic>
      <xdr:nvPicPr>
        <xdr:cNvPr id="5" name="图片 4"/>
        <xdr:cNvPicPr>
          <a:picLocks noChangeAspect="1"/>
        </xdr:cNvPicPr>
      </xdr:nvPicPr>
      <xdr:blipFill>
        <a:blip r:embed="rId4"/>
        <a:stretch>
          <a:fillRect/>
        </a:stretch>
      </xdr:blipFill>
      <xdr:spPr>
        <a:xfrm>
          <a:off x="125730" y="6183630"/>
          <a:ext cx="854075" cy="937895"/>
        </a:xfrm>
        <a:prstGeom prst="rect">
          <a:avLst/>
        </a:prstGeom>
        <a:noFill/>
        <a:ln w="9525">
          <a:noFill/>
        </a:ln>
      </xdr:spPr>
    </xdr:pic>
    <xdr:clientData/>
  </xdr:twoCellAnchor>
  <xdr:twoCellAnchor editAs="oneCell">
    <xdr:from>
      <xdr:col>0</xdr:col>
      <xdr:colOff>113725</xdr:colOff>
      <xdr:row>21</xdr:row>
      <xdr:rowOff>136235</xdr:rowOff>
    </xdr:from>
    <xdr:to>
      <xdr:col>0</xdr:col>
      <xdr:colOff>934145</xdr:colOff>
      <xdr:row>24</xdr:row>
      <xdr:rowOff>125440</xdr:rowOff>
    </xdr:to>
    <xdr:pic>
      <xdr:nvPicPr>
        <xdr:cNvPr id="7" name="图片 6"/>
        <xdr:cNvPicPr>
          <a:picLocks noChangeAspect="1"/>
        </xdr:cNvPicPr>
      </xdr:nvPicPr>
      <xdr:blipFill>
        <a:blip r:embed="rId5"/>
        <a:stretch>
          <a:fillRect/>
        </a:stretch>
      </xdr:blipFill>
      <xdr:spPr>
        <a:xfrm>
          <a:off x="113665" y="8849995"/>
          <a:ext cx="820420" cy="1319530"/>
        </a:xfrm>
        <a:prstGeom prst="rect">
          <a:avLst/>
        </a:prstGeom>
        <a:noFill/>
        <a:ln w="9525">
          <a:noFill/>
        </a:ln>
      </xdr:spPr>
    </xdr:pic>
    <xdr:clientData/>
  </xdr:twoCellAnchor>
  <xdr:twoCellAnchor editAs="oneCell">
    <xdr:from>
      <xdr:col>0</xdr:col>
      <xdr:colOff>83127</xdr:colOff>
      <xdr:row>25</xdr:row>
      <xdr:rowOff>270164</xdr:rowOff>
    </xdr:from>
    <xdr:to>
      <xdr:col>0</xdr:col>
      <xdr:colOff>999432</xdr:colOff>
      <xdr:row>28</xdr:row>
      <xdr:rowOff>449869</xdr:rowOff>
    </xdr:to>
    <xdr:pic>
      <xdr:nvPicPr>
        <xdr:cNvPr id="8" name="图片 7"/>
        <xdr:cNvPicPr>
          <a:picLocks noChangeAspect="1"/>
        </xdr:cNvPicPr>
      </xdr:nvPicPr>
      <xdr:blipFill>
        <a:blip r:embed="rId6"/>
        <a:stretch>
          <a:fillRect/>
        </a:stretch>
      </xdr:blipFill>
      <xdr:spPr>
        <a:xfrm>
          <a:off x="82550" y="10695305"/>
          <a:ext cx="916305" cy="1322705"/>
        </a:xfrm>
        <a:prstGeom prst="rect">
          <a:avLst/>
        </a:prstGeom>
        <a:noFill/>
        <a:ln w="9525">
          <a:noFill/>
        </a:ln>
      </xdr:spPr>
    </xdr:pic>
    <xdr:clientData/>
  </xdr:twoCellAnchor>
  <xdr:twoCellAnchor editAs="oneCell">
    <xdr:from>
      <xdr:col>0</xdr:col>
      <xdr:colOff>0</xdr:colOff>
      <xdr:row>30</xdr:row>
      <xdr:rowOff>278906</xdr:rowOff>
    </xdr:from>
    <xdr:to>
      <xdr:col>0</xdr:col>
      <xdr:colOff>977900</xdr:colOff>
      <xdr:row>33</xdr:row>
      <xdr:rowOff>278906</xdr:rowOff>
    </xdr:to>
    <xdr:pic>
      <xdr:nvPicPr>
        <xdr:cNvPr id="9" name="图片 8"/>
        <xdr:cNvPicPr>
          <a:picLocks noChangeAspect="1"/>
        </xdr:cNvPicPr>
      </xdr:nvPicPr>
      <xdr:blipFill>
        <a:blip r:embed="rId7"/>
        <a:stretch>
          <a:fillRect/>
        </a:stretch>
      </xdr:blipFill>
      <xdr:spPr>
        <a:xfrm>
          <a:off x="0" y="12796520"/>
          <a:ext cx="977900" cy="1143000"/>
        </a:xfrm>
        <a:prstGeom prst="rect">
          <a:avLst/>
        </a:prstGeom>
        <a:noFill/>
        <a:ln w="9525">
          <a:noFill/>
        </a:ln>
      </xdr:spPr>
    </xdr:pic>
    <xdr:clientData/>
  </xdr:twoCellAnchor>
  <xdr:twoCellAnchor editAs="oneCell">
    <xdr:from>
      <xdr:col>0</xdr:col>
      <xdr:colOff>0</xdr:colOff>
      <xdr:row>35</xdr:row>
      <xdr:rowOff>92363</xdr:rowOff>
    </xdr:from>
    <xdr:to>
      <xdr:col>0</xdr:col>
      <xdr:colOff>906780</xdr:colOff>
      <xdr:row>38</xdr:row>
      <xdr:rowOff>564803</xdr:rowOff>
    </xdr:to>
    <xdr:pic>
      <xdr:nvPicPr>
        <xdr:cNvPr id="10" name="图片 9"/>
        <xdr:cNvPicPr>
          <a:picLocks noChangeAspect="1"/>
        </xdr:cNvPicPr>
      </xdr:nvPicPr>
      <xdr:blipFill>
        <a:blip r:embed="rId8"/>
        <a:stretch>
          <a:fillRect/>
        </a:stretch>
      </xdr:blipFill>
      <xdr:spPr>
        <a:xfrm>
          <a:off x="0" y="14667230"/>
          <a:ext cx="906780" cy="1615440"/>
        </a:xfrm>
        <a:prstGeom prst="rect">
          <a:avLst/>
        </a:prstGeom>
        <a:noFill/>
        <a:ln w="9525">
          <a:noFill/>
        </a:ln>
      </xdr:spPr>
    </xdr:pic>
    <xdr:clientData/>
  </xdr:twoCellAnchor>
  <xdr:twoCellAnchor editAs="oneCell">
    <xdr:from>
      <xdr:col>0</xdr:col>
      <xdr:colOff>0</xdr:colOff>
      <xdr:row>40</xdr:row>
      <xdr:rowOff>218594</xdr:rowOff>
    </xdr:from>
    <xdr:to>
      <xdr:col>0</xdr:col>
      <xdr:colOff>979805</xdr:colOff>
      <xdr:row>42</xdr:row>
      <xdr:rowOff>465609</xdr:rowOff>
    </xdr:to>
    <xdr:pic>
      <xdr:nvPicPr>
        <xdr:cNvPr id="11" name="图片 10"/>
        <xdr:cNvPicPr>
          <a:picLocks noChangeAspect="1"/>
        </xdr:cNvPicPr>
      </xdr:nvPicPr>
      <xdr:blipFill>
        <a:blip r:embed="rId9"/>
        <a:stretch>
          <a:fillRect/>
        </a:stretch>
      </xdr:blipFill>
      <xdr:spPr>
        <a:xfrm>
          <a:off x="0" y="16946245"/>
          <a:ext cx="979805" cy="1009015"/>
        </a:xfrm>
        <a:prstGeom prst="rect">
          <a:avLst/>
        </a:prstGeom>
        <a:noFill/>
        <a:ln w="9525">
          <a:noFill/>
        </a:ln>
      </xdr:spPr>
    </xdr:pic>
    <xdr:clientData/>
  </xdr:twoCellAnchor>
  <xdr:twoCellAnchor editAs="oneCell">
    <xdr:from>
      <xdr:col>0</xdr:col>
      <xdr:colOff>0</xdr:colOff>
      <xdr:row>44</xdr:row>
      <xdr:rowOff>295756</xdr:rowOff>
    </xdr:from>
    <xdr:to>
      <xdr:col>0</xdr:col>
      <xdr:colOff>925195</xdr:colOff>
      <xdr:row>46</xdr:row>
      <xdr:rowOff>331951</xdr:rowOff>
    </xdr:to>
    <xdr:pic>
      <xdr:nvPicPr>
        <xdr:cNvPr id="12" name="图片 11"/>
        <xdr:cNvPicPr>
          <a:picLocks noChangeAspect="1"/>
        </xdr:cNvPicPr>
      </xdr:nvPicPr>
      <xdr:blipFill>
        <a:blip r:embed="rId10"/>
        <a:stretch>
          <a:fillRect/>
        </a:stretch>
      </xdr:blipFill>
      <xdr:spPr>
        <a:xfrm>
          <a:off x="0" y="18756630"/>
          <a:ext cx="925195" cy="988695"/>
        </a:xfrm>
        <a:prstGeom prst="rect">
          <a:avLst/>
        </a:prstGeom>
      </xdr:spPr>
    </xdr:pic>
    <xdr:clientData/>
  </xdr:twoCellAnchor>
  <xdr:twoCellAnchor editAs="oneCell">
    <xdr:from>
      <xdr:col>0</xdr:col>
      <xdr:colOff>114491</xdr:colOff>
      <xdr:row>48</xdr:row>
      <xdr:rowOff>200506</xdr:rowOff>
    </xdr:from>
    <xdr:to>
      <xdr:col>0</xdr:col>
      <xdr:colOff>963486</xdr:colOff>
      <xdr:row>51</xdr:row>
      <xdr:rowOff>28421</xdr:rowOff>
    </xdr:to>
    <xdr:pic>
      <xdr:nvPicPr>
        <xdr:cNvPr id="13" name="图片 12"/>
        <xdr:cNvPicPr>
          <a:picLocks noChangeAspect="1"/>
        </xdr:cNvPicPr>
      </xdr:nvPicPr>
      <xdr:blipFill>
        <a:blip r:embed="rId11"/>
        <a:stretch>
          <a:fillRect/>
        </a:stretch>
      </xdr:blipFill>
      <xdr:spPr>
        <a:xfrm>
          <a:off x="114300" y="20794980"/>
          <a:ext cx="848995" cy="1272540"/>
        </a:xfrm>
        <a:prstGeom prst="rect">
          <a:avLst/>
        </a:prstGeom>
      </xdr:spPr>
    </xdr:pic>
    <xdr:clientData/>
  </xdr:twoCellAnchor>
  <xdr:twoCellAnchor editAs="oneCell">
    <xdr:from>
      <xdr:col>0</xdr:col>
      <xdr:colOff>0</xdr:colOff>
      <xdr:row>52</xdr:row>
      <xdr:rowOff>294216</xdr:rowOff>
    </xdr:from>
    <xdr:to>
      <xdr:col>0</xdr:col>
      <xdr:colOff>974090</xdr:colOff>
      <xdr:row>54</xdr:row>
      <xdr:rowOff>430741</xdr:rowOff>
    </xdr:to>
    <xdr:pic>
      <xdr:nvPicPr>
        <xdr:cNvPr id="14" name="图片 13"/>
        <xdr:cNvPicPr>
          <a:picLocks noChangeAspect="1"/>
        </xdr:cNvPicPr>
      </xdr:nvPicPr>
      <xdr:blipFill>
        <a:blip r:embed="rId12"/>
        <a:stretch>
          <a:fillRect/>
        </a:stretch>
      </xdr:blipFill>
      <xdr:spPr>
        <a:xfrm>
          <a:off x="0" y="22714585"/>
          <a:ext cx="974090" cy="898525"/>
        </a:xfrm>
        <a:prstGeom prst="rect">
          <a:avLst/>
        </a:prstGeom>
      </xdr:spPr>
    </xdr:pic>
    <xdr:clientData/>
  </xdr:twoCellAnchor>
  <xdr:twoCellAnchor editAs="oneCell">
    <xdr:from>
      <xdr:col>0</xdr:col>
      <xdr:colOff>0</xdr:colOff>
      <xdr:row>56</xdr:row>
      <xdr:rowOff>157787</xdr:rowOff>
    </xdr:from>
    <xdr:to>
      <xdr:col>0</xdr:col>
      <xdr:colOff>949325</xdr:colOff>
      <xdr:row>59</xdr:row>
      <xdr:rowOff>307</xdr:rowOff>
    </xdr:to>
    <xdr:pic>
      <xdr:nvPicPr>
        <xdr:cNvPr id="15" name="图片 14"/>
        <xdr:cNvPicPr>
          <a:picLocks noChangeAspect="1"/>
        </xdr:cNvPicPr>
      </xdr:nvPicPr>
      <xdr:blipFill>
        <a:blip r:embed="rId13"/>
        <a:stretch>
          <a:fillRect/>
        </a:stretch>
      </xdr:blipFill>
      <xdr:spPr>
        <a:xfrm>
          <a:off x="0" y="24365585"/>
          <a:ext cx="949325" cy="1260475"/>
        </a:xfrm>
        <a:prstGeom prst="rect">
          <a:avLst/>
        </a:prstGeom>
        <a:noFill/>
        <a:ln w="9525">
          <a:noFill/>
        </a:ln>
      </xdr:spPr>
    </xdr:pic>
    <xdr:clientData/>
  </xdr:twoCellAnchor>
  <xdr:twoCellAnchor editAs="oneCell">
    <xdr:from>
      <xdr:col>0</xdr:col>
      <xdr:colOff>20397</xdr:colOff>
      <xdr:row>60</xdr:row>
      <xdr:rowOff>167795</xdr:rowOff>
    </xdr:from>
    <xdr:to>
      <xdr:col>0</xdr:col>
      <xdr:colOff>969722</xdr:colOff>
      <xdr:row>63</xdr:row>
      <xdr:rowOff>256695</xdr:rowOff>
    </xdr:to>
    <xdr:pic>
      <xdr:nvPicPr>
        <xdr:cNvPr id="16" name="图片 15"/>
        <xdr:cNvPicPr>
          <a:picLocks noChangeAspect="1"/>
        </xdr:cNvPicPr>
      </xdr:nvPicPr>
      <xdr:blipFill>
        <a:blip r:embed="rId14"/>
        <a:stretch>
          <a:fillRect/>
        </a:stretch>
      </xdr:blipFill>
      <xdr:spPr>
        <a:xfrm>
          <a:off x="20320" y="26174700"/>
          <a:ext cx="949325" cy="1231900"/>
        </a:xfrm>
        <a:prstGeom prst="rect">
          <a:avLst/>
        </a:prstGeom>
      </xdr:spPr>
    </xdr:pic>
    <xdr:clientData/>
  </xdr:twoCellAnchor>
  <xdr:twoCellAnchor editAs="oneCell">
    <xdr:from>
      <xdr:col>0</xdr:col>
      <xdr:colOff>146051</xdr:colOff>
      <xdr:row>64</xdr:row>
      <xdr:rowOff>189345</xdr:rowOff>
    </xdr:from>
    <xdr:to>
      <xdr:col>0</xdr:col>
      <xdr:colOff>939801</xdr:colOff>
      <xdr:row>67</xdr:row>
      <xdr:rowOff>69330</xdr:rowOff>
    </xdr:to>
    <xdr:pic>
      <xdr:nvPicPr>
        <xdr:cNvPr id="17" name="图片 16"/>
        <xdr:cNvPicPr>
          <a:picLocks noChangeAspect="1"/>
        </xdr:cNvPicPr>
      </xdr:nvPicPr>
      <xdr:blipFill>
        <a:blip r:embed="rId15"/>
        <a:stretch>
          <a:fillRect/>
        </a:stretch>
      </xdr:blipFill>
      <xdr:spPr>
        <a:xfrm>
          <a:off x="146050" y="27720290"/>
          <a:ext cx="793750" cy="1022985"/>
        </a:xfrm>
        <a:prstGeom prst="rect">
          <a:avLst/>
        </a:prstGeom>
        <a:noFill/>
        <a:ln w="9525">
          <a:noFill/>
        </a:ln>
      </xdr:spPr>
    </xdr:pic>
    <xdr:clientData/>
  </xdr:twoCellAnchor>
  <xdr:twoCellAnchor editAs="oneCell">
    <xdr:from>
      <xdr:col>0</xdr:col>
      <xdr:colOff>63830</xdr:colOff>
      <xdr:row>68</xdr:row>
      <xdr:rowOff>49315</xdr:rowOff>
    </xdr:from>
    <xdr:to>
      <xdr:col>0</xdr:col>
      <xdr:colOff>825830</xdr:colOff>
      <xdr:row>69</xdr:row>
      <xdr:rowOff>317285</xdr:rowOff>
    </xdr:to>
    <xdr:pic>
      <xdr:nvPicPr>
        <xdr:cNvPr id="18" name="图片 17" descr="1681095045929"/>
        <xdr:cNvPicPr>
          <a:picLocks noChangeAspect="1"/>
        </xdr:cNvPicPr>
      </xdr:nvPicPr>
      <xdr:blipFill>
        <a:blip r:embed="rId16"/>
        <a:stretch>
          <a:fillRect/>
        </a:stretch>
      </xdr:blipFill>
      <xdr:spPr>
        <a:xfrm>
          <a:off x="63500" y="29103955"/>
          <a:ext cx="762000" cy="648970"/>
        </a:xfrm>
        <a:prstGeom prst="rect">
          <a:avLst/>
        </a:prstGeom>
      </xdr:spPr>
    </xdr:pic>
    <xdr:clientData/>
  </xdr:twoCellAnchor>
  <xdr:twoCellAnchor editAs="oneCell">
    <xdr:from>
      <xdr:col>0</xdr:col>
      <xdr:colOff>208975</xdr:colOff>
      <xdr:row>70</xdr:row>
      <xdr:rowOff>73120</xdr:rowOff>
    </xdr:from>
    <xdr:to>
      <xdr:col>0</xdr:col>
      <xdr:colOff>1058605</xdr:colOff>
      <xdr:row>71</xdr:row>
      <xdr:rowOff>292195</xdr:rowOff>
    </xdr:to>
    <xdr:pic>
      <xdr:nvPicPr>
        <xdr:cNvPr id="19" name="图片 18"/>
        <xdr:cNvPicPr>
          <a:picLocks noChangeAspect="1"/>
        </xdr:cNvPicPr>
      </xdr:nvPicPr>
      <xdr:blipFill>
        <a:blip r:embed="rId17"/>
        <a:stretch>
          <a:fillRect/>
        </a:stretch>
      </xdr:blipFill>
      <xdr:spPr>
        <a:xfrm>
          <a:off x="208915" y="29890085"/>
          <a:ext cx="849630" cy="600075"/>
        </a:xfrm>
        <a:prstGeom prst="rect">
          <a:avLst/>
        </a:prstGeom>
        <a:noFill/>
        <a:ln w="9525">
          <a:noFill/>
        </a:ln>
      </xdr:spPr>
    </xdr:pic>
    <xdr:clientData/>
  </xdr:twoCellAnchor>
  <xdr:twoCellAnchor editAs="oneCell">
    <xdr:from>
      <xdr:col>0</xdr:col>
      <xdr:colOff>0</xdr:colOff>
      <xdr:row>72</xdr:row>
      <xdr:rowOff>62732</xdr:rowOff>
    </xdr:from>
    <xdr:to>
      <xdr:col>0</xdr:col>
      <xdr:colOff>883285</xdr:colOff>
      <xdr:row>74</xdr:row>
      <xdr:rowOff>275457</xdr:rowOff>
    </xdr:to>
    <xdr:pic>
      <xdr:nvPicPr>
        <xdr:cNvPr id="20" name="图片 19"/>
        <xdr:cNvPicPr>
          <a:picLocks noChangeAspect="1"/>
        </xdr:cNvPicPr>
      </xdr:nvPicPr>
      <xdr:blipFill>
        <a:blip r:embed="rId18"/>
        <a:stretch>
          <a:fillRect/>
        </a:stretch>
      </xdr:blipFill>
      <xdr:spPr>
        <a:xfrm>
          <a:off x="0" y="30641290"/>
          <a:ext cx="883285" cy="974725"/>
        </a:xfrm>
        <a:prstGeom prst="rect">
          <a:avLst/>
        </a:prstGeom>
        <a:noFill/>
        <a:ln w="9525">
          <a:noFill/>
        </a:ln>
      </xdr:spPr>
    </xdr:pic>
    <xdr:clientData/>
  </xdr:twoCellAnchor>
  <xdr:twoCellAnchor editAs="oneCell">
    <xdr:from>
      <xdr:col>0</xdr:col>
      <xdr:colOff>264583</xdr:colOff>
      <xdr:row>75</xdr:row>
      <xdr:rowOff>21169</xdr:rowOff>
    </xdr:from>
    <xdr:to>
      <xdr:col>0</xdr:col>
      <xdr:colOff>850053</xdr:colOff>
      <xdr:row>75</xdr:row>
      <xdr:rowOff>840954</xdr:rowOff>
    </xdr:to>
    <xdr:pic>
      <xdr:nvPicPr>
        <xdr:cNvPr id="21" name="图片 20"/>
        <xdr:cNvPicPr>
          <a:picLocks noChangeAspect="1"/>
        </xdr:cNvPicPr>
      </xdr:nvPicPr>
      <xdr:blipFill>
        <a:blip r:embed="rId19"/>
        <a:stretch>
          <a:fillRect/>
        </a:stretch>
      </xdr:blipFill>
      <xdr:spPr>
        <a:xfrm>
          <a:off x="264160" y="31743015"/>
          <a:ext cx="585470" cy="819785"/>
        </a:xfrm>
        <a:prstGeom prst="rect">
          <a:avLst/>
        </a:prstGeom>
      </xdr:spPr>
    </xdr:pic>
    <xdr:clientData/>
  </xdr:twoCellAnchor>
  <xdr:twoCellAnchor editAs="oneCell">
    <xdr:from>
      <xdr:col>0</xdr:col>
      <xdr:colOff>370418</xdr:colOff>
      <xdr:row>76</xdr:row>
      <xdr:rowOff>21167</xdr:rowOff>
    </xdr:from>
    <xdr:to>
      <xdr:col>0</xdr:col>
      <xdr:colOff>659343</xdr:colOff>
      <xdr:row>76</xdr:row>
      <xdr:rowOff>868892</xdr:rowOff>
    </xdr:to>
    <xdr:pic>
      <xdr:nvPicPr>
        <xdr:cNvPr id="22" name="图片 21"/>
        <xdr:cNvPicPr>
          <a:picLocks noChangeAspect="1"/>
        </xdr:cNvPicPr>
      </xdr:nvPicPr>
      <xdr:blipFill>
        <a:blip r:embed="rId20"/>
        <a:stretch>
          <a:fillRect/>
        </a:stretch>
      </xdr:blipFill>
      <xdr:spPr>
        <a:xfrm>
          <a:off x="370205" y="32635190"/>
          <a:ext cx="288925" cy="847725"/>
        </a:xfrm>
        <a:prstGeom prst="rect">
          <a:avLst/>
        </a:prstGeom>
      </xdr:spPr>
    </xdr:pic>
    <xdr:clientData/>
  </xdr:twoCellAnchor>
  <xdr:twoCellAnchor editAs="oneCell">
    <xdr:from>
      <xdr:col>0</xdr:col>
      <xdr:colOff>370420</xdr:colOff>
      <xdr:row>77</xdr:row>
      <xdr:rowOff>52918</xdr:rowOff>
    </xdr:from>
    <xdr:to>
      <xdr:col>0</xdr:col>
      <xdr:colOff>602195</xdr:colOff>
      <xdr:row>77</xdr:row>
      <xdr:rowOff>789518</xdr:rowOff>
    </xdr:to>
    <xdr:pic>
      <xdr:nvPicPr>
        <xdr:cNvPr id="23" name="图片 22"/>
        <xdr:cNvPicPr>
          <a:picLocks noChangeAspect="1"/>
        </xdr:cNvPicPr>
      </xdr:nvPicPr>
      <xdr:blipFill>
        <a:blip r:embed="rId21"/>
        <a:stretch>
          <a:fillRect/>
        </a:stretch>
      </xdr:blipFill>
      <xdr:spPr>
        <a:xfrm>
          <a:off x="370205" y="33559115"/>
          <a:ext cx="231775" cy="736600"/>
        </a:xfrm>
        <a:prstGeom prst="rect">
          <a:avLst/>
        </a:prstGeom>
      </xdr:spPr>
    </xdr:pic>
    <xdr:clientData/>
  </xdr:twoCellAnchor>
  <xdr:twoCellAnchor editAs="oneCell">
    <xdr:from>
      <xdr:col>0</xdr:col>
      <xdr:colOff>306917</xdr:colOff>
      <xdr:row>78</xdr:row>
      <xdr:rowOff>20562</xdr:rowOff>
    </xdr:from>
    <xdr:to>
      <xdr:col>0</xdr:col>
      <xdr:colOff>564092</xdr:colOff>
      <xdr:row>78</xdr:row>
      <xdr:rowOff>741922</xdr:rowOff>
    </xdr:to>
    <xdr:pic>
      <xdr:nvPicPr>
        <xdr:cNvPr id="24" name="图片 23"/>
        <xdr:cNvPicPr>
          <a:picLocks noChangeAspect="1"/>
        </xdr:cNvPicPr>
      </xdr:nvPicPr>
      <xdr:blipFill>
        <a:blip r:embed="rId22"/>
        <a:stretch>
          <a:fillRect/>
        </a:stretch>
      </xdr:blipFill>
      <xdr:spPr>
        <a:xfrm>
          <a:off x="306705" y="34449385"/>
          <a:ext cx="257175" cy="721360"/>
        </a:xfrm>
        <a:prstGeom prst="rect">
          <a:avLst/>
        </a:prstGeom>
      </xdr:spPr>
    </xdr:pic>
    <xdr:clientData/>
  </xdr:twoCellAnchor>
  <xdr:twoCellAnchor editAs="oneCell">
    <xdr:from>
      <xdr:col>0</xdr:col>
      <xdr:colOff>0</xdr:colOff>
      <xdr:row>79</xdr:row>
      <xdr:rowOff>117929</xdr:rowOff>
    </xdr:from>
    <xdr:to>
      <xdr:col>0</xdr:col>
      <xdr:colOff>1006475</xdr:colOff>
      <xdr:row>80</xdr:row>
      <xdr:rowOff>220799</xdr:rowOff>
    </xdr:to>
    <xdr:pic>
      <xdr:nvPicPr>
        <xdr:cNvPr id="25" name="图片 24"/>
        <xdr:cNvPicPr>
          <a:picLocks noChangeAspect="1"/>
        </xdr:cNvPicPr>
      </xdr:nvPicPr>
      <xdr:blipFill>
        <a:blip r:embed="rId23"/>
        <a:stretch>
          <a:fillRect/>
        </a:stretch>
      </xdr:blipFill>
      <xdr:spPr>
        <a:xfrm>
          <a:off x="0" y="35308540"/>
          <a:ext cx="1006475" cy="483870"/>
        </a:xfrm>
        <a:prstGeom prst="rect">
          <a:avLst/>
        </a:prstGeom>
        <a:noFill/>
        <a:ln w="9525">
          <a:noFill/>
        </a:ln>
      </xdr:spPr>
    </xdr:pic>
    <xdr:clientData/>
  </xdr:twoCellAnchor>
  <xdr:twoCellAnchor editAs="oneCell">
    <xdr:from>
      <xdr:col>0</xdr:col>
      <xdr:colOff>0</xdr:colOff>
      <xdr:row>81</xdr:row>
      <xdr:rowOff>117928</xdr:rowOff>
    </xdr:from>
    <xdr:to>
      <xdr:col>0</xdr:col>
      <xdr:colOff>958850</xdr:colOff>
      <xdr:row>83</xdr:row>
      <xdr:rowOff>124278</xdr:rowOff>
    </xdr:to>
    <xdr:pic>
      <xdr:nvPicPr>
        <xdr:cNvPr id="26" name="图片 25"/>
        <xdr:cNvPicPr>
          <a:picLocks noChangeAspect="1"/>
        </xdr:cNvPicPr>
      </xdr:nvPicPr>
      <xdr:blipFill>
        <a:blip r:embed="rId24"/>
        <a:stretch>
          <a:fillRect/>
        </a:stretch>
      </xdr:blipFill>
      <xdr:spPr>
        <a:xfrm>
          <a:off x="0" y="36070540"/>
          <a:ext cx="958850" cy="768350"/>
        </a:xfrm>
        <a:prstGeom prst="rect">
          <a:avLst/>
        </a:prstGeom>
      </xdr:spPr>
    </xdr:pic>
    <xdr:clientData/>
  </xdr:twoCellAnchor>
  <xdr:twoCellAnchor editAs="oneCell">
    <xdr:from>
      <xdr:col>0</xdr:col>
      <xdr:colOff>27214</xdr:colOff>
      <xdr:row>84</xdr:row>
      <xdr:rowOff>72571</xdr:rowOff>
    </xdr:from>
    <xdr:to>
      <xdr:col>0</xdr:col>
      <xdr:colOff>1069884</xdr:colOff>
      <xdr:row>85</xdr:row>
      <xdr:rowOff>292281</xdr:rowOff>
    </xdr:to>
    <xdr:pic>
      <xdr:nvPicPr>
        <xdr:cNvPr id="27" name="图片 26"/>
        <xdr:cNvPicPr>
          <a:picLocks noChangeAspect="1"/>
        </xdr:cNvPicPr>
      </xdr:nvPicPr>
      <xdr:blipFill>
        <a:blip r:embed="rId25"/>
        <a:stretch>
          <a:fillRect/>
        </a:stretch>
      </xdr:blipFill>
      <xdr:spPr>
        <a:xfrm>
          <a:off x="26670" y="37168455"/>
          <a:ext cx="1042670" cy="600710"/>
        </a:xfrm>
        <a:prstGeom prst="rect">
          <a:avLst/>
        </a:prstGeom>
      </xdr:spPr>
    </xdr:pic>
    <xdr:clientData/>
  </xdr:twoCellAnchor>
  <xdr:twoCellAnchor editAs="oneCell">
    <xdr:from>
      <xdr:col>0</xdr:col>
      <xdr:colOff>72572</xdr:colOff>
      <xdr:row>86</xdr:row>
      <xdr:rowOff>72572</xdr:rowOff>
    </xdr:from>
    <xdr:to>
      <xdr:col>0</xdr:col>
      <xdr:colOff>959667</xdr:colOff>
      <xdr:row>87</xdr:row>
      <xdr:rowOff>237037</xdr:rowOff>
    </xdr:to>
    <xdr:pic>
      <xdr:nvPicPr>
        <xdr:cNvPr id="28" name="图片 27"/>
        <xdr:cNvPicPr>
          <a:picLocks noChangeAspect="1"/>
        </xdr:cNvPicPr>
      </xdr:nvPicPr>
      <xdr:blipFill>
        <a:blip r:embed="rId26"/>
        <a:stretch>
          <a:fillRect/>
        </a:stretch>
      </xdr:blipFill>
      <xdr:spPr>
        <a:xfrm>
          <a:off x="72390" y="37930455"/>
          <a:ext cx="887095" cy="545465"/>
        </a:xfrm>
        <a:prstGeom prst="rect">
          <a:avLst/>
        </a:prstGeom>
      </xdr:spPr>
    </xdr:pic>
    <xdr:clientData/>
  </xdr:twoCellAnchor>
  <xdr:twoCellAnchor editAs="oneCell">
    <xdr:from>
      <xdr:col>0</xdr:col>
      <xdr:colOff>9072</xdr:colOff>
      <xdr:row>88</xdr:row>
      <xdr:rowOff>81642</xdr:rowOff>
    </xdr:from>
    <xdr:to>
      <xdr:col>0</xdr:col>
      <xdr:colOff>999672</xdr:colOff>
      <xdr:row>89</xdr:row>
      <xdr:rowOff>221977</xdr:rowOff>
    </xdr:to>
    <xdr:pic>
      <xdr:nvPicPr>
        <xdr:cNvPr id="29" name="图片 28"/>
        <xdr:cNvPicPr>
          <a:picLocks noChangeAspect="1"/>
        </xdr:cNvPicPr>
      </xdr:nvPicPr>
      <xdr:blipFill>
        <a:blip r:embed="rId27"/>
        <a:stretch>
          <a:fillRect/>
        </a:stretch>
      </xdr:blipFill>
      <xdr:spPr>
        <a:xfrm>
          <a:off x="8890" y="38701345"/>
          <a:ext cx="990600" cy="521335"/>
        </a:xfrm>
        <a:prstGeom prst="rect">
          <a:avLst/>
        </a:prstGeom>
      </xdr:spPr>
    </xdr:pic>
    <xdr:clientData/>
  </xdr:twoCellAnchor>
  <xdr:twoCellAnchor editAs="oneCell">
    <xdr:from>
      <xdr:col>0</xdr:col>
      <xdr:colOff>108857</xdr:colOff>
      <xdr:row>90</xdr:row>
      <xdr:rowOff>90714</xdr:rowOff>
    </xdr:from>
    <xdr:to>
      <xdr:col>0</xdr:col>
      <xdr:colOff>849267</xdr:colOff>
      <xdr:row>90</xdr:row>
      <xdr:rowOff>849539</xdr:rowOff>
    </xdr:to>
    <xdr:pic>
      <xdr:nvPicPr>
        <xdr:cNvPr id="30" name="图片 29"/>
        <xdr:cNvPicPr>
          <a:picLocks noChangeAspect="1"/>
        </xdr:cNvPicPr>
      </xdr:nvPicPr>
      <xdr:blipFill>
        <a:blip r:embed="rId28"/>
        <a:stretch>
          <a:fillRect/>
        </a:stretch>
      </xdr:blipFill>
      <xdr:spPr>
        <a:xfrm>
          <a:off x="108585" y="39472235"/>
          <a:ext cx="740410" cy="758825"/>
        </a:xfrm>
        <a:prstGeom prst="rect">
          <a:avLst/>
        </a:prstGeom>
      </xdr:spPr>
    </xdr:pic>
    <xdr:clientData/>
  </xdr:twoCellAnchor>
  <xdr:twoCellAnchor editAs="oneCell">
    <xdr:from>
      <xdr:col>0</xdr:col>
      <xdr:colOff>136071</xdr:colOff>
      <xdr:row>91</xdr:row>
      <xdr:rowOff>145143</xdr:rowOff>
    </xdr:from>
    <xdr:to>
      <xdr:col>0</xdr:col>
      <xdr:colOff>1016816</xdr:colOff>
      <xdr:row>93</xdr:row>
      <xdr:rowOff>258173</xdr:rowOff>
    </xdr:to>
    <xdr:pic>
      <xdr:nvPicPr>
        <xdr:cNvPr id="31" name="图片 30"/>
        <xdr:cNvPicPr>
          <a:picLocks noChangeAspect="1"/>
        </xdr:cNvPicPr>
      </xdr:nvPicPr>
      <xdr:blipFill>
        <a:blip r:embed="rId29"/>
        <a:stretch>
          <a:fillRect/>
        </a:stretch>
      </xdr:blipFill>
      <xdr:spPr>
        <a:xfrm>
          <a:off x="135890" y="40449500"/>
          <a:ext cx="880745" cy="875030"/>
        </a:xfrm>
        <a:prstGeom prst="rect">
          <a:avLst/>
        </a:prstGeom>
      </xdr:spPr>
    </xdr:pic>
    <xdr:clientData/>
  </xdr:twoCellAnchor>
  <xdr:twoCellAnchor editAs="oneCell">
    <xdr:from>
      <xdr:col>0</xdr:col>
      <xdr:colOff>0</xdr:colOff>
      <xdr:row>94</xdr:row>
      <xdr:rowOff>63500</xdr:rowOff>
    </xdr:from>
    <xdr:to>
      <xdr:col>0</xdr:col>
      <xdr:colOff>977900</xdr:colOff>
      <xdr:row>95</xdr:row>
      <xdr:rowOff>313055</xdr:rowOff>
    </xdr:to>
    <xdr:pic>
      <xdr:nvPicPr>
        <xdr:cNvPr id="32" name="图片 31"/>
        <xdr:cNvPicPr>
          <a:picLocks noChangeAspect="1"/>
        </xdr:cNvPicPr>
      </xdr:nvPicPr>
      <xdr:blipFill>
        <a:blip r:embed="rId30"/>
        <a:stretch>
          <a:fillRect/>
        </a:stretch>
      </xdr:blipFill>
      <xdr:spPr>
        <a:xfrm>
          <a:off x="0" y="41511220"/>
          <a:ext cx="977900" cy="630555"/>
        </a:xfrm>
        <a:prstGeom prst="rect">
          <a:avLst/>
        </a:prstGeom>
      </xdr:spPr>
    </xdr:pic>
    <xdr:clientData/>
  </xdr:twoCellAnchor>
  <xdr:twoCellAnchor editAs="oneCell">
    <xdr:from>
      <xdr:col>0</xdr:col>
      <xdr:colOff>90714</xdr:colOff>
      <xdr:row>96</xdr:row>
      <xdr:rowOff>99786</xdr:rowOff>
    </xdr:from>
    <xdr:to>
      <xdr:col>0</xdr:col>
      <xdr:colOff>950504</xdr:colOff>
      <xdr:row>97</xdr:row>
      <xdr:rowOff>316321</xdr:rowOff>
    </xdr:to>
    <xdr:pic>
      <xdr:nvPicPr>
        <xdr:cNvPr id="33" name="图片 32"/>
        <xdr:cNvPicPr>
          <a:picLocks noChangeAspect="1"/>
        </xdr:cNvPicPr>
      </xdr:nvPicPr>
      <xdr:blipFill>
        <a:blip r:embed="rId31"/>
        <a:stretch>
          <a:fillRect/>
        </a:stretch>
      </xdr:blipFill>
      <xdr:spPr>
        <a:xfrm>
          <a:off x="90170" y="42309415"/>
          <a:ext cx="859790" cy="597535"/>
        </a:xfrm>
        <a:prstGeom prst="rect">
          <a:avLst/>
        </a:prstGeom>
      </xdr:spPr>
    </xdr:pic>
    <xdr:clientData/>
  </xdr:twoCellAnchor>
  <xdr:twoCellAnchor editAs="oneCell">
    <xdr:from>
      <xdr:col>0</xdr:col>
      <xdr:colOff>0</xdr:colOff>
      <xdr:row>98</xdr:row>
      <xdr:rowOff>127000</xdr:rowOff>
    </xdr:from>
    <xdr:to>
      <xdr:col>0</xdr:col>
      <xdr:colOff>969010</xdr:colOff>
      <xdr:row>99</xdr:row>
      <xdr:rowOff>312420</xdr:rowOff>
    </xdr:to>
    <xdr:pic>
      <xdr:nvPicPr>
        <xdr:cNvPr id="34" name="图片 33"/>
        <xdr:cNvPicPr>
          <a:picLocks noChangeAspect="1"/>
        </xdr:cNvPicPr>
      </xdr:nvPicPr>
      <xdr:blipFill>
        <a:blip r:embed="rId32"/>
        <a:stretch>
          <a:fillRect/>
        </a:stretch>
      </xdr:blipFill>
      <xdr:spPr>
        <a:xfrm>
          <a:off x="0" y="43098720"/>
          <a:ext cx="969010" cy="566420"/>
        </a:xfrm>
        <a:prstGeom prst="rect">
          <a:avLst/>
        </a:prstGeom>
      </xdr:spPr>
    </xdr:pic>
    <xdr:clientData/>
  </xdr:twoCellAnchor>
  <xdr:twoCellAnchor editAs="oneCell">
    <xdr:from>
      <xdr:col>0</xdr:col>
      <xdr:colOff>0</xdr:colOff>
      <xdr:row>100</xdr:row>
      <xdr:rowOff>0</xdr:rowOff>
    </xdr:from>
    <xdr:to>
      <xdr:col>0</xdr:col>
      <xdr:colOff>848995</xdr:colOff>
      <xdr:row>101</xdr:row>
      <xdr:rowOff>351155</xdr:rowOff>
    </xdr:to>
    <xdr:pic>
      <xdr:nvPicPr>
        <xdr:cNvPr id="35" name="图片 34"/>
        <xdr:cNvPicPr>
          <a:picLocks noChangeAspect="1"/>
        </xdr:cNvPicPr>
      </xdr:nvPicPr>
      <xdr:blipFill>
        <a:blip r:embed="rId33"/>
        <a:stretch>
          <a:fillRect/>
        </a:stretch>
      </xdr:blipFill>
      <xdr:spPr>
        <a:xfrm>
          <a:off x="0" y="43733720"/>
          <a:ext cx="848995" cy="732155"/>
        </a:xfrm>
        <a:prstGeom prst="rect">
          <a:avLst/>
        </a:prstGeom>
      </xdr:spPr>
    </xdr:pic>
    <xdr:clientData/>
  </xdr:twoCellAnchor>
  <xdr:twoCellAnchor editAs="oneCell">
    <xdr:from>
      <xdr:col>0</xdr:col>
      <xdr:colOff>0</xdr:colOff>
      <xdr:row>102</xdr:row>
      <xdr:rowOff>90714</xdr:rowOff>
    </xdr:from>
    <xdr:to>
      <xdr:col>0</xdr:col>
      <xdr:colOff>1011555</xdr:colOff>
      <xdr:row>103</xdr:row>
      <xdr:rowOff>274229</xdr:rowOff>
    </xdr:to>
    <xdr:pic>
      <xdr:nvPicPr>
        <xdr:cNvPr id="36" name="图片 35"/>
        <xdr:cNvPicPr>
          <a:picLocks noChangeAspect="1"/>
        </xdr:cNvPicPr>
      </xdr:nvPicPr>
      <xdr:blipFill>
        <a:blip r:embed="rId34"/>
        <a:stretch>
          <a:fillRect/>
        </a:stretch>
      </xdr:blipFill>
      <xdr:spPr>
        <a:xfrm>
          <a:off x="0" y="44585890"/>
          <a:ext cx="1011555" cy="56451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0</xdr:col>
      <xdr:colOff>155222</xdr:colOff>
      <xdr:row>5</xdr:row>
      <xdr:rowOff>204612</xdr:rowOff>
    </xdr:from>
    <xdr:to>
      <xdr:col>0</xdr:col>
      <xdr:colOff>1199445</xdr:colOff>
      <xdr:row>8</xdr:row>
      <xdr:rowOff>93550</xdr:rowOff>
    </xdr:to>
    <xdr:pic>
      <xdr:nvPicPr>
        <xdr:cNvPr id="2" name="图片 1"/>
        <xdr:cNvPicPr>
          <a:picLocks noChangeAspect="1"/>
        </xdr:cNvPicPr>
      </xdr:nvPicPr>
      <xdr:blipFill>
        <a:blip r:embed="rId1"/>
        <a:stretch>
          <a:fillRect/>
        </a:stretch>
      </xdr:blipFill>
      <xdr:spPr>
        <a:xfrm>
          <a:off x="154940" y="1987550"/>
          <a:ext cx="1043940" cy="1031875"/>
        </a:xfrm>
        <a:prstGeom prst="rect">
          <a:avLst/>
        </a:prstGeom>
      </xdr:spPr>
    </xdr:pic>
    <xdr:clientData/>
  </xdr:twoCellAnchor>
  <xdr:twoCellAnchor editAs="oneCell">
    <xdr:from>
      <xdr:col>0</xdr:col>
      <xdr:colOff>201085</xdr:colOff>
      <xdr:row>11</xdr:row>
      <xdr:rowOff>21167</xdr:rowOff>
    </xdr:from>
    <xdr:to>
      <xdr:col>0</xdr:col>
      <xdr:colOff>1054525</xdr:colOff>
      <xdr:row>13</xdr:row>
      <xdr:rowOff>372957</xdr:rowOff>
    </xdr:to>
    <xdr:pic>
      <xdr:nvPicPr>
        <xdr:cNvPr id="3" name="图片 2"/>
        <xdr:cNvPicPr>
          <a:picLocks noChangeAspect="1"/>
        </xdr:cNvPicPr>
      </xdr:nvPicPr>
      <xdr:blipFill>
        <a:blip r:embed="rId2"/>
        <a:stretch>
          <a:fillRect/>
        </a:stretch>
      </xdr:blipFill>
      <xdr:spPr>
        <a:xfrm>
          <a:off x="200660" y="4090035"/>
          <a:ext cx="853440" cy="1113790"/>
        </a:xfrm>
        <a:prstGeom prst="rect">
          <a:avLst/>
        </a:prstGeom>
      </xdr:spPr>
    </xdr:pic>
    <xdr:clientData/>
  </xdr:twoCellAnchor>
  <xdr:twoCellAnchor editAs="oneCell">
    <xdr:from>
      <xdr:col>0</xdr:col>
      <xdr:colOff>84669</xdr:colOff>
      <xdr:row>15</xdr:row>
      <xdr:rowOff>317500</xdr:rowOff>
    </xdr:from>
    <xdr:to>
      <xdr:col>0</xdr:col>
      <xdr:colOff>1026374</xdr:colOff>
      <xdr:row>18</xdr:row>
      <xdr:rowOff>207010</xdr:rowOff>
    </xdr:to>
    <xdr:pic>
      <xdr:nvPicPr>
        <xdr:cNvPr id="4" name="图片 3"/>
        <xdr:cNvPicPr>
          <a:picLocks noChangeAspect="1"/>
        </xdr:cNvPicPr>
      </xdr:nvPicPr>
      <xdr:blipFill>
        <a:blip r:embed="rId3"/>
        <a:stretch>
          <a:fillRect/>
        </a:stretch>
      </xdr:blipFill>
      <xdr:spPr>
        <a:xfrm>
          <a:off x="84455" y="5910580"/>
          <a:ext cx="941705" cy="1032510"/>
        </a:xfrm>
        <a:prstGeom prst="rect">
          <a:avLst/>
        </a:prstGeom>
      </xdr:spPr>
    </xdr:pic>
    <xdr:clientData/>
  </xdr:twoCellAnchor>
  <xdr:twoCellAnchor editAs="oneCell">
    <xdr:from>
      <xdr:col>0</xdr:col>
      <xdr:colOff>158751</xdr:colOff>
      <xdr:row>19</xdr:row>
      <xdr:rowOff>264584</xdr:rowOff>
    </xdr:from>
    <xdr:to>
      <xdr:col>0</xdr:col>
      <xdr:colOff>1054736</xdr:colOff>
      <xdr:row>22</xdr:row>
      <xdr:rowOff>295699</xdr:rowOff>
    </xdr:to>
    <xdr:pic>
      <xdr:nvPicPr>
        <xdr:cNvPr id="5" name="图片 4"/>
        <xdr:cNvPicPr>
          <a:picLocks noChangeAspect="1"/>
        </xdr:cNvPicPr>
      </xdr:nvPicPr>
      <xdr:blipFill>
        <a:blip r:embed="rId4"/>
        <a:stretch>
          <a:fillRect/>
        </a:stretch>
      </xdr:blipFill>
      <xdr:spPr>
        <a:xfrm>
          <a:off x="158750" y="7381240"/>
          <a:ext cx="895985" cy="1174115"/>
        </a:xfrm>
        <a:prstGeom prst="rect">
          <a:avLst/>
        </a:prstGeom>
      </xdr:spPr>
    </xdr:pic>
    <xdr:clientData/>
  </xdr:twoCellAnchor>
  <xdr:twoCellAnchor editAs="oneCell">
    <xdr:from>
      <xdr:col>0</xdr:col>
      <xdr:colOff>158751</xdr:colOff>
      <xdr:row>24</xdr:row>
      <xdr:rowOff>261409</xdr:rowOff>
    </xdr:from>
    <xdr:to>
      <xdr:col>0</xdr:col>
      <xdr:colOff>1044576</xdr:colOff>
      <xdr:row>26</xdr:row>
      <xdr:rowOff>368724</xdr:rowOff>
    </xdr:to>
    <xdr:pic>
      <xdr:nvPicPr>
        <xdr:cNvPr id="6" name="图片 5"/>
        <xdr:cNvPicPr>
          <a:picLocks noChangeAspect="1"/>
        </xdr:cNvPicPr>
      </xdr:nvPicPr>
      <xdr:blipFill>
        <a:blip r:embed="rId5"/>
        <a:stretch>
          <a:fillRect/>
        </a:stretch>
      </xdr:blipFill>
      <xdr:spPr>
        <a:xfrm>
          <a:off x="158750" y="9283065"/>
          <a:ext cx="885825" cy="869315"/>
        </a:xfrm>
        <a:prstGeom prst="rect">
          <a:avLst/>
        </a:prstGeom>
      </xdr:spPr>
    </xdr:pic>
    <xdr:clientData/>
  </xdr:twoCellAnchor>
  <xdr:twoCellAnchor editAs="oneCell">
    <xdr:from>
      <xdr:col>0</xdr:col>
      <xdr:colOff>201083</xdr:colOff>
      <xdr:row>29</xdr:row>
      <xdr:rowOff>328083</xdr:rowOff>
    </xdr:from>
    <xdr:to>
      <xdr:col>0</xdr:col>
      <xdr:colOff>1105958</xdr:colOff>
      <xdr:row>32</xdr:row>
      <xdr:rowOff>159173</xdr:rowOff>
    </xdr:to>
    <xdr:pic>
      <xdr:nvPicPr>
        <xdr:cNvPr id="7" name="图片 6"/>
        <xdr:cNvPicPr>
          <a:picLocks noChangeAspect="1"/>
        </xdr:cNvPicPr>
      </xdr:nvPicPr>
      <xdr:blipFill>
        <a:blip r:embed="rId6"/>
        <a:stretch>
          <a:fillRect/>
        </a:stretch>
      </xdr:blipFill>
      <xdr:spPr>
        <a:xfrm>
          <a:off x="200660" y="12111990"/>
          <a:ext cx="904875" cy="974090"/>
        </a:xfrm>
        <a:prstGeom prst="rect">
          <a:avLst/>
        </a:prstGeom>
      </xdr:spPr>
    </xdr:pic>
    <xdr:clientData/>
  </xdr:twoCellAnchor>
  <xdr:twoCellAnchor editAs="oneCell">
    <xdr:from>
      <xdr:col>0</xdr:col>
      <xdr:colOff>253999</xdr:colOff>
      <xdr:row>28</xdr:row>
      <xdr:rowOff>137583</xdr:rowOff>
    </xdr:from>
    <xdr:to>
      <xdr:col>0</xdr:col>
      <xdr:colOff>945514</xdr:colOff>
      <xdr:row>28</xdr:row>
      <xdr:rowOff>1097703</xdr:rowOff>
    </xdr:to>
    <xdr:pic>
      <xdr:nvPicPr>
        <xdr:cNvPr id="8" name="图片 7"/>
        <xdr:cNvPicPr>
          <a:picLocks noChangeAspect="1"/>
        </xdr:cNvPicPr>
      </xdr:nvPicPr>
      <xdr:blipFill>
        <a:blip r:embed="rId7"/>
        <a:stretch>
          <a:fillRect/>
        </a:stretch>
      </xdr:blipFill>
      <xdr:spPr>
        <a:xfrm>
          <a:off x="253365" y="10683240"/>
          <a:ext cx="691515" cy="960120"/>
        </a:xfrm>
        <a:prstGeom prst="rect">
          <a:avLst/>
        </a:prstGeom>
      </xdr:spPr>
    </xdr:pic>
    <xdr:clientData/>
  </xdr:twoCellAnchor>
  <xdr:twoCellAnchor editAs="oneCell">
    <xdr:from>
      <xdr:col>0</xdr:col>
      <xdr:colOff>95251</xdr:colOff>
      <xdr:row>33</xdr:row>
      <xdr:rowOff>158750</xdr:rowOff>
    </xdr:from>
    <xdr:to>
      <xdr:col>0</xdr:col>
      <xdr:colOff>1153796</xdr:colOff>
      <xdr:row>36</xdr:row>
      <xdr:rowOff>228600</xdr:rowOff>
    </xdr:to>
    <xdr:pic>
      <xdr:nvPicPr>
        <xdr:cNvPr id="9" name="图片 8"/>
        <xdr:cNvPicPr>
          <a:picLocks noChangeAspect="1"/>
        </xdr:cNvPicPr>
      </xdr:nvPicPr>
      <xdr:blipFill>
        <a:blip r:embed="rId8"/>
        <a:stretch>
          <a:fillRect/>
        </a:stretch>
      </xdr:blipFill>
      <xdr:spPr>
        <a:xfrm>
          <a:off x="95250" y="13467080"/>
          <a:ext cx="1058545" cy="1212850"/>
        </a:xfrm>
        <a:prstGeom prst="rect">
          <a:avLst/>
        </a:prstGeom>
      </xdr:spPr>
    </xdr:pic>
    <xdr:clientData/>
  </xdr:twoCellAnchor>
  <xdr:twoCellAnchor editAs="oneCell">
    <xdr:from>
      <xdr:col>0</xdr:col>
      <xdr:colOff>232834</xdr:colOff>
      <xdr:row>37</xdr:row>
      <xdr:rowOff>162985</xdr:rowOff>
    </xdr:from>
    <xdr:to>
      <xdr:col>0</xdr:col>
      <xdr:colOff>982134</xdr:colOff>
      <xdr:row>37</xdr:row>
      <xdr:rowOff>1123105</xdr:rowOff>
    </xdr:to>
    <xdr:pic>
      <xdr:nvPicPr>
        <xdr:cNvPr id="10" name="图片 9"/>
        <xdr:cNvPicPr>
          <a:picLocks noChangeAspect="1"/>
        </xdr:cNvPicPr>
      </xdr:nvPicPr>
      <xdr:blipFill>
        <a:blip r:embed="rId9"/>
        <a:stretch>
          <a:fillRect/>
        </a:stretch>
      </xdr:blipFill>
      <xdr:spPr>
        <a:xfrm>
          <a:off x="232410" y="14994890"/>
          <a:ext cx="749300" cy="960120"/>
        </a:xfrm>
        <a:prstGeom prst="rect">
          <a:avLst/>
        </a:prstGeom>
      </xdr:spPr>
    </xdr:pic>
    <xdr:clientData/>
  </xdr:twoCellAnchor>
  <xdr:twoCellAnchor editAs="oneCell">
    <xdr:from>
      <xdr:col>0</xdr:col>
      <xdr:colOff>193675</xdr:colOff>
      <xdr:row>38</xdr:row>
      <xdr:rowOff>116416</xdr:rowOff>
    </xdr:from>
    <xdr:to>
      <xdr:col>0</xdr:col>
      <xdr:colOff>1078230</xdr:colOff>
      <xdr:row>38</xdr:row>
      <xdr:rowOff>1152736</xdr:rowOff>
    </xdr:to>
    <xdr:pic>
      <xdr:nvPicPr>
        <xdr:cNvPr id="11" name="图片 10"/>
        <xdr:cNvPicPr>
          <a:picLocks noChangeAspect="1"/>
        </xdr:cNvPicPr>
      </xdr:nvPicPr>
      <xdr:blipFill>
        <a:blip r:embed="rId10"/>
        <a:stretch>
          <a:fillRect/>
        </a:stretch>
      </xdr:blipFill>
      <xdr:spPr>
        <a:xfrm>
          <a:off x="193675" y="16186785"/>
          <a:ext cx="884555" cy="1036320"/>
        </a:xfrm>
        <a:prstGeom prst="rect">
          <a:avLst/>
        </a:prstGeom>
      </xdr:spPr>
    </xdr:pic>
    <xdr:clientData/>
  </xdr:twoCellAnchor>
  <xdr:twoCellAnchor editAs="oneCell">
    <xdr:from>
      <xdr:col>0</xdr:col>
      <xdr:colOff>165098</xdr:colOff>
      <xdr:row>39</xdr:row>
      <xdr:rowOff>130175</xdr:rowOff>
    </xdr:from>
    <xdr:to>
      <xdr:col>0</xdr:col>
      <xdr:colOff>1076323</xdr:colOff>
      <xdr:row>41</xdr:row>
      <xdr:rowOff>257175</xdr:rowOff>
    </xdr:to>
    <xdr:pic>
      <xdr:nvPicPr>
        <xdr:cNvPr id="12" name="图片 11"/>
        <xdr:cNvPicPr>
          <a:picLocks noChangeAspect="1"/>
        </xdr:cNvPicPr>
      </xdr:nvPicPr>
      <xdr:blipFill>
        <a:blip r:embed="rId11"/>
        <a:stretch>
          <a:fillRect/>
        </a:stretch>
      </xdr:blipFill>
      <xdr:spPr>
        <a:xfrm>
          <a:off x="164465" y="17439005"/>
          <a:ext cx="911225" cy="889000"/>
        </a:xfrm>
        <a:prstGeom prst="rect">
          <a:avLst/>
        </a:prstGeom>
      </xdr:spPr>
    </xdr:pic>
    <xdr:clientData/>
  </xdr:twoCellAnchor>
  <xdr:twoCellAnchor editAs="oneCell">
    <xdr:from>
      <xdr:col>0</xdr:col>
      <xdr:colOff>194735</xdr:colOff>
      <xdr:row>42</xdr:row>
      <xdr:rowOff>84667</xdr:rowOff>
    </xdr:from>
    <xdr:to>
      <xdr:col>0</xdr:col>
      <xdr:colOff>1057700</xdr:colOff>
      <xdr:row>43</xdr:row>
      <xdr:rowOff>487892</xdr:rowOff>
    </xdr:to>
    <xdr:pic>
      <xdr:nvPicPr>
        <xdr:cNvPr id="13" name="图片 12"/>
        <xdr:cNvPicPr>
          <a:picLocks noChangeAspect="1"/>
        </xdr:cNvPicPr>
      </xdr:nvPicPr>
      <xdr:blipFill>
        <a:blip r:embed="rId12"/>
        <a:stretch>
          <a:fillRect/>
        </a:stretch>
      </xdr:blipFill>
      <xdr:spPr>
        <a:xfrm>
          <a:off x="194310" y="18536285"/>
          <a:ext cx="862965" cy="911225"/>
        </a:xfrm>
        <a:prstGeom prst="rect">
          <a:avLst/>
        </a:prstGeom>
      </xdr:spPr>
    </xdr:pic>
    <xdr:clientData/>
  </xdr:twoCellAnchor>
  <xdr:twoCellAnchor editAs="oneCell">
    <xdr:from>
      <xdr:col>0</xdr:col>
      <xdr:colOff>172509</xdr:colOff>
      <xdr:row>44</xdr:row>
      <xdr:rowOff>377826</xdr:rowOff>
    </xdr:from>
    <xdr:to>
      <xdr:col>0</xdr:col>
      <xdr:colOff>1165014</xdr:colOff>
      <xdr:row>48</xdr:row>
      <xdr:rowOff>30481</xdr:rowOff>
    </xdr:to>
    <xdr:pic>
      <xdr:nvPicPr>
        <xdr:cNvPr id="14" name="图片 13"/>
        <xdr:cNvPicPr>
          <a:picLocks noChangeAspect="1"/>
        </xdr:cNvPicPr>
      </xdr:nvPicPr>
      <xdr:blipFill>
        <a:blip r:embed="rId13"/>
        <a:stretch>
          <a:fillRect/>
        </a:stretch>
      </xdr:blipFill>
      <xdr:spPr>
        <a:xfrm>
          <a:off x="172085" y="19845655"/>
          <a:ext cx="992505" cy="1176655"/>
        </a:xfrm>
        <a:prstGeom prst="rect">
          <a:avLst/>
        </a:prstGeom>
      </xdr:spPr>
    </xdr:pic>
    <xdr:clientData/>
  </xdr:twoCellAnchor>
  <xdr:twoCellAnchor editAs="oneCell">
    <xdr:from>
      <xdr:col>0</xdr:col>
      <xdr:colOff>193676</xdr:colOff>
      <xdr:row>49</xdr:row>
      <xdr:rowOff>155576</xdr:rowOff>
    </xdr:from>
    <xdr:to>
      <xdr:col>0</xdr:col>
      <xdr:colOff>1000761</xdr:colOff>
      <xdr:row>50</xdr:row>
      <xdr:rowOff>478791</xdr:rowOff>
    </xdr:to>
    <xdr:pic>
      <xdr:nvPicPr>
        <xdr:cNvPr id="15" name="图片 14"/>
        <xdr:cNvPicPr>
          <a:picLocks noChangeAspect="1"/>
        </xdr:cNvPicPr>
      </xdr:nvPicPr>
      <xdr:blipFill>
        <a:blip r:embed="rId14"/>
        <a:stretch>
          <a:fillRect/>
        </a:stretch>
      </xdr:blipFill>
      <xdr:spPr>
        <a:xfrm>
          <a:off x="193675" y="21528405"/>
          <a:ext cx="807085" cy="831215"/>
        </a:xfrm>
        <a:prstGeom prst="rect">
          <a:avLst/>
        </a:prstGeom>
      </xdr:spPr>
    </xdr:pic>
    <xdr:clientData/>
  </xdr:twoCellAnchor>
  <xdr:twoCellAnchor editAs="oneCell">
    <xdr:from>
      <xdr:col>0</xdr:col>
      <xdr:colOff>190500</xdr:colOff>
      <xdr:row>51</xdr:row>
      <xdr:rowOff>21169</xdr:rowOff>
    </xdr:from>
    <xdr:to>
      <xdr:col>0</xdr:col>
      <xdr:colOff>1068705</xdr:colOff>
      <xdr:row>53</xdr:row>
      <xdr:rowOff>298029</xdr:rowOff>
    </xdr:to>
    <xdr:pic>
      <xdr:nvPicPr>
        <xdr:cNvPr id="16" name="图片 15"/>
        <xdr:cNvPicPr>
          <a:picLocks noChangeAspect="1"/>
        </xdr:cNvPicPr>
      </xdr:nvPicPr>
      <xdr:blipFill>
        <a:blip r:embed="rId15"/>
        <a:stretch>
          <a:fillRect/>
        </a:stretch>
      </xdr:blipFill>
      <xdr:spPr>
        <a:xfrm>
          <a:off x="190500" y="22409785"/>
          <a:ext cx="878205" cy="1038860"/>
        </a:xfrm>
        <a:prstGeom prst="rect">
          <a:avLst/>
        </a:prstGeom>
      </xdr:spPr>
    </xdr:pic>
    <xdr:clientData/>
  </xdr:twoCellAnchor>
  <xdr:twoCellAnchor editAs="oneCell">
    <xdr:from>
      <xdr:col>0</xdr:col>
      <xdr:colOff>148167</xdr:colOff>
      <xdr:row>54</xdr:row>
      <xdr:rowOff>74084</xdr:rowOff>
    </xdr:from>
    <xdr:to>
      <xdr:col>0</xdr:col>
      <xdr:colOff>1188297</xdr:colOff>
      <xdr:row>57</xdr:row>
      <xdr:rowOff>255059</xdr:rowOff>
    </xdr:to>
    <xdr:pic>
      <xdr:nvPicPr>
        <xdr:cNvPr id="17" name="图片 16"/>
        <xdr:cNvPicPr>
          <a:picLocks noChangeAspect="1"/>
        </xdr:cNvPicPr>
      </xdr:nvPicPr>
      <xdr:blipFill>
        <a:blip r:embed="rId16"/>
        <a:stretch>
          <a:fillRect/>
        </a:stretch>
      </xdr:blipFill>
      <xdr:spPr>
        <a:xfrm>
          <a:off x="147955" y="23605490"/>
          <a:ext cx="1040130" cy="1323975"/>
        </a:xfrm>
        <a:prstGeom prst="rect">
          <a:avLst/>
        </a:prstGeom>
      </xdr:spPr>
    </xdr:pic>
    <xdr:clientData/>
  </xdr:twoCellAnchor>
  <xdr:twoCellAnchor editAs="oneCell">
    <xdr:from>
      <xdr:col>0</xdr:col>
      <xdr:colOff>105833</xdr:colOff>
      <xdr:row>58</xdr:row>
      <xdr:rowOff>74083</xdr:rowOff>
    </xdr:from>
    <xdr:to>
      <xdr:col>0</xdr:col>
      <xdr:colOff>1178983</xdr:colOff>
      <xdr:row>60</xdr:row>
      <xdr:rowOff>353483</xdr:rowOff>
    </xdr:to>
    <xdr:pic>
      <xdr:nvPicPr>
        <xdr:cNvPr id="18" name="图片 17"/>
        <xdr:cNvPicPr>
          <a:picLocks noChangeAspect="1"/>
        </xdr:cNvPicPr>
      </xdr:nvPicPr>
      <xdr:blipFill>
        <a:blip r:embed="rId17"/>
        <a:stretch>
          <a:fillRect/>
        </a:stretch>
      </xdr:blipFill>
      <xdr:spPr>
        <a:xfrm>
          <a:off x="105410" y="25129490"/>
          <a:ext cx="1073150" cy="1041400"/>
        </a:xfrm>
        <a:prstGeom prst="rect">
          <a:avLst/>
        </a:prstGeom>
      </xdr:spPr>
    </xdr:pic>
    <xdr:clientData/>
  </xdr:twoCellAnchor>
  <xdr:twoCellAnchor editAs="oneCell">
    <xdr:from>
      <xdr:col>0</xdr:col>
      <xdr:colOff>137583</xdr:colOff>
      <xdr:row>62</xdr:row>
      <xdr:rowOff>63501</xdr:rowOff>
    </xdr:from>
    <xdr:to>
      <xdr:col>0</xdr:col>
      <xdr:colOff>1037378</xdr:colOff>
      <xdr:row>64</xdr:row>
      <xdr:rowOff>173356</xdr:rowOff>
    </xdr:to>
    <xdr:pic>
      <xdr:nvPicPr>
        <xdr:cNvPr id="19" name="图片 18"/>
        <xdr:cNvPicPr>
          <a:picLocks noChangeAspect="1"/>
        </xdr:cNvPicPr>
      </xdr:nvPicPr>
      <xdr:blipFill>
        <a:blip r:embed="rId18"/>
        <a:stretch>
          <a:fillRect/>
        </a:stretch>
      </xdr:blipFill>
      <xdr:spPr>
        <a:xfrm>
          <a:off x="137160" y="26643330"/>
          <a:ext cx="899795" cy="871855"/>
        </a:xfrm>
        <a:prstGeom prst="rect">
          <a:avLst/>
        </a:prstGeom>
      </xdr:spPr>
    </xdr:pic>
    <xdr:clientData/>
  </xdr:twoCellAnchor>
  <xdr:twoCellAnchor editAs="oneCell">
    <xdr:from>
      <xdr:col>0</xdr:col>
      <xdr:colOff>137584</xdr:colOff>
      <xdr:row>66</xdr:row>
      <xdr:rowOff>179917</xdr:rowOff>
    </xdr:from>
    <xdr:to>
      <xdr:col>0</xdr:col>
      <xdr:colOff>1112944</xdr:colOff>
      <xdr:row>66</xdr:row>
      <xdr:rowOff>1164167</xdr:rowOff>
    </xdr:to>
    <xdr:pic>
      <xdr:nvPicPr>
        <xdr:cNvPr id="20" name="图片 19"/>
        <xdr:cNvPicPr>
          <a:picLocks noChangeAspect="1"/>
        </xdr:cNvPicPr>
      </xdr:nvPicPr>
      <xdr:blipFill>
        <a:blip r:embed="rId19"/>
        <a:stretch>
          <a:fillRect/>
        </a:stretch>
      </xdr:blipFill>
      <xdr:spPr>
        <a:xfrm>
          <a:off x="137160" y="28283535"/>
          <a:ext cx="975360" cy="984250"/>
        </a:xfrm>
        <a:prstGeom prst="rect">
          <a:avLst/>
        </a:prstGeom>
      </xdr:spPr>
    </xdr:pic>
    <xdr:clientData/>
  </xdr:twoCellAnchor>
  <xdr:twoCellAnchor editAs="oneCell">
    <xdr:from>
      <xdr:col>0</xdr:col>
      <xdr:colOff>253999</xdr:colOff>
      <xdr:row>67</xdr:row>
      <xdr:rowOff>69852</xdr:rowOff>
    </xdr:from>
    <xdr:to>
      <xdr:col>0</xdr:col>
      <xdr:colOff>1076324</xdr:colOff>
      <xdr:row>68</xdr:row>
      <xdr:rowOff>370842</xdr:rowOff>
    </xdr:to>
    <xdr:pic>
      <xdr:nvPicPr>
        <xdr:cNvPr id="21" name="图片 20"/>
        <xdr:cNvPicPr>
          <a:picLocks noChangeAspect="1"/>
        </xdr:cNvPicPr>
      </xdr:nvPicPr>
      <xdr:blipFill>
        <a:blip r:embed="rId20"/>
        <a:stretch>
          <a:fillRect/>
        </a:stretch>
      </xdr:blipFill>
      <xdr:spPr>
        <a:xfrm>
          <a:off x="253365" y="29411930"/>
          <a:ext cx="822325" cy="808990"/>
        </a:xfrm>
        <a:prstGeom prst="rect">
          <a:avLst/>
        </a:prstGeom>
      </xdr:spPr>
    </xdr:pic>
    <xdr:clientData/>
  </xdr:twoCellAnchor>
  <xdr:twoCellAnchor editAs="oneCell">
    <xdr:from>
      <xdr:col>0</xdr:col>
      <xdr:colOff>179917</xdr:colOff>
      <xdr:row>69</xdr:row>
      <xdr:rowOff>158750</xdr:rowOff>
    </xdr:from>
    <xdr:to>
      <xdr:col>0</xdr:col>
      <xdr:colOff>1207982</xdr:colOff>
      <xdr:row>72</xdr:row>
      <xdr:rowOff>228600</xdr:rowOff>
    </xdr:to>
    <xdr:pic>
      <xdr:nvPicPr>
        <xdr:cNvPr id="22" name="图片 21"/>
        <xdr:cNvPicPr>
          <a:picLocks noChangeAspect="1"/>
        </xdr:cNvPicPr>
      </xdr:nvPicPr>
      <xdr:blipFill>
        <a:blip r:embed="rId21"/>
        <a:stretch>
          <a:fillRect/>
        </a:stretch>
      </xdr:blipFill>
      <xdr:spPr>
        <a:xfrm>
          <a:off x="179705" y="30516830"/>
          <a:ext cx="1028065" cy="1212850"/>
        </a:xfrm>
        <a:prstGeom prst="rect">
          <a:avLst/>
        </a:prstGeom>
      </xdr:spPr>
    </xdr:pic>
    <xdr:clientData/>
  </xdr:twoCellAnchor>
  <xdr:twoCellAnchor editAs="oneCell">
    <xdr:from>
      <xdr:col>0</xdr:col>
      <xdr:colOff>211667</xdr:colOff>
      <xdr:row>73</xdr:row>
      <xdr:rowOff>134410</xdr:rowOff>
    </xdr:from>
    <xdr:to>
      <xdr:col>0</xdr:col>
      <xdr:colOff>1076537</xdr:colOff>
      <xdr:row>75</xdr:row>
      <xdr:rowOff>240455</xdr:rowOff>
    </xdr:to>
    <xdr:pic>
      <xdr:nvPicPr>
        <xdr:cNvPr id="23" name="图片 22"/>
        <xdr:cNvPicPr>
          <a:picLocks noChangeAspect="1"/>
        </xdr:cNvPicPr>
      </xdr:nvPicPr>
      <xdr:blipFill>
        <a:blip r:embed="rId22"/>
        <a:stretch>
          <a:fillRect/>
        </a:stretch>
      </xdr:blipFill>
      <xdr:spPr>
        <a:xfrm>
          <a:off x="211455" y="32016065"/>
          <a:ext cx="864870" cy="868045"/>
        </a:xfrm>
        <a:prstGeom prst="rect">
          <a:avLst/>
        </a:prstGeom>
      </xdr:spPr>
    </xdr:pic>
    <xdr:clientData/>
  </xdr:twoCellAnchor>
  <xdr:twoCellAnchor editAs="oneCell">
    <xdr:from>
      <xdr:col>0</xdr:col>
      <xdr:colOff>0</xdr:colOff>
      <xdr:row>76</xdr:row>
      <xdr:rowOff>127000</xdr:rowOff>
    </xdr:from>
    <xdr:to>
      <xdr:col>0</xdr:col>
      <xdr:colOff>1287780</xdr:colOff>
      <xdr:row>81</xdr:row>
      <xdr:rowOff>200660</xdr:rowOff>
    </xdr:to>
    <xdr:pic>
      <xdr:nvPicPr>
        <xdr:cNvPr id="24" name="图片 23"/>
        <xdr:cNvPicPr>
          <a:picLocks noChangeAspect="1"/>
        </xdr:cNvPicPr>
      </xdr:nvPicPr>
      <xdr:blipFill>
        <a:blip r:embed="rId23"/>
        <a:stretch>
          <a:fillRect/>
        </a:stretch>
      </xdr:blipFill>
      <xdr:spPr>
        <a:xfrm>
          <a:off x="0" y="33152080"/>
          <a:ext cx="1287780" cy="1978660"/>
        </a:xfrm>
        <a:prstGeom prst="rect">
          <a:avLst/>
        </a:prstGeom>
      </xdr:spPr>
    </xdr:pic>
    <xdr:clientData/>
  </xdr:twoCellAnchor>
  <xdr:twoCellAnchor editAs="oneCell">
    <xdr:from>
      <xdr:col>0</xdr:col>
      <xdr:colOff>137584</xdr:colOff>
      <xdr:row>82</xdr:row>
      <xdr:rowOff>148167</xdr:rowOff>
    </xdr:from>
    <xdr:to>
      <xdr:col>0</xdr:col>
      <xdr:colOff>1201844</xdr:colOff>
      <xdr:row>84</xdr:row>
      <xdr:rowOff>237067</xdr:rowOff>
    </xdr:to>
    <xdr:pic>
      <xdr:nvPicPr>
        <xdr:cNvPr id="25" name="图片 24"/>
        <xdr:cNvPicPr>
          <a:picLocks noChangeAspect="1"/>
        </xdr:cNvPicPr>
      </xdr:nvPicPr>
      <xdr:blipFill>
        <a:blip r:embed="rId24"/>
        <a:stretch>
          <a:fillRect/>
        </a:stretch>
      </xdr:blipFill>
      <xdr:spPr>
        <a:xfrm>
          <a:off x="137160" y="35459035"/>
          <a:ext cx="1064260" cy="850900"/>
        </a:xfrm>
        <a:prstGeom prst="rect">
          <a:avLst/>
        </a:prstGeom>
      </xdr:spPr>
    </xdr:pic>
    <xdr:clientData/>
  </xdr:twoCellAnchor>
  <xdr:twoCellAnchor editAs="oneCell">
    <xdr:from>
      <xdr:col>0</xdr:col>
      <xdr:colOff>161925</xdr:colOff>
      <xdr:row>85</xdr:row>
      <xdr:rowOff>66675</xdr:rowOff>
    </xdr:from>
    <xdr:to>
      <xdr:col>0</xdr:col>
      <xdr:colOff>1150620</xdr:colOff>
      <xdr:row>86</xdr:row>
      <xdr:rowOff>429260</xdr:rowOff>
    </xdr:to>
    <xdr:pic>
      <xdr:nvPicPr>
        <xdr:cNvPr id="26" name="图片 25"/>
        <xdr:cNvPicPr>
          <a:picLocks noChangeAspect="1"/>
        </xdr:cNvPicPr>
      </xdr:nvPicPr>
      <xdr:blipFill>
        <a:blip r:embed="rId25"/>
        <a:stretch>
          <a:fillRect/>
        </a:stretch>
      </xdr:blipFill>
      <xdr:spPr>
        <a:xfrm>
          <a:off x="161925" y="36520755"/>
          <a:ext cx="988695" cy="870585"/>
        </a:xfrm>
        <a:prstGeom prst="rect">
          <a:avLst/>
        </a:prstGeom>
      </xdr:spPr>
    </xdr:pic>
    <xdr:clientData/>
  </xdr:twoCellAnchor>
  <xdr:twoCellAnchor editAs="oneCell">
    <xdr:from>
      <xdr:col>0</xdr:col>
      <xdr:colOff>158750</xdr:colOff>
      <xdr:row>87</xdr:row>
      <xdr:rowOff>105835</xdr:rowOff>
    </xdr:from>
    <xdr:to>
      <xdr:col>0</xdr:col>
      <xdr:colOff>1188720</xdr:colOff>
      <xdr:row>89</xdr:row>
      <xdr:rowOff>255060</xdr:rowOff>
    </xdr:to>
    <xdr:pic>
      <xdr:nvPicPr>
        <xdr:cNvPr id="27" name="图片 26"/>
        <xdr:cNvPicPr>
          <a:picLocks noChangeAspect="1"/>
        </xdr:cNvPicPr>
      </xdr:nvPicPr>
      <xdr:blipFill>
        <a:blip r:embed="rId26"/>
        <a:stretch>
          <a:fillRect/>
        </a:stretch>
      </xdr:blipFill>
      <xdr:spPr>
        <a:xfrm>
          <a:off x="158750" y="37575490"/>
          <a:ext cx="1029970" cy="911225"/>
        </a:xfrm>
        <a:prstGeom prst="rect">
          <a:avLst/>
        </a:prstGeom>
      </xdr:spPr>
    </xdr:pic>
    <xdr:clientData/>
  </xdr:twoCellAnchor>
  <xdr:twoCellAnchor editAs="oneCell">
    <xdr:from>
      <xdr:col>0</xdr:col>
      <xdr:colOff>116417</xdr:colOff>
      <xdr:row>90</xdr:row>
      <xdr:rowOff>21166</xdr:rowOff>
    </xdr:from>
    <xdr:to>
      <xdr:col>0</xdr:col>
      <xdr:colOff>1114002</xdr:colOff>
      <xdr:row>91</xdr:row>
      <xdr:rowOff>402166</xdr:rowOff>
    </xdr:to>
    <xdr:pic>
      <xdr:nvPicPr>
        <xdr:cNvPr id="28" name="图片 27"/>
        <xdr:cNvPicPr>
          <a:picLocks noChangeAspect="1" noChangeArrowheads="1"/>
        </xdr:cNvPicPr>
      </xdr:nvPicPr>
      <xdr:blipFill>
        <a:blip r:embed="rId27" cstate="print">
          <a:extLst>
            <a:ext uri="{28A0092B-C50C-407E-A947-70E740481C1C}">
              <a14:useLocalDpi xmlns:a14="http://schemas.microsoft.com/office/drawing/2010/main" val="0"/>
            </a:ext>
          </a:extLst>
        </a:blip>
        <a:srcRect/>
        <a:stretch>
          <a:fillRect/>
        </a:stretch>
      </xdr:blipFill>
      <xdr:spPr>
        <a:xfrm>
          <a:off x="116205" y="38634035"/>
          <a:ext cx="997585" cy="88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137583</xdr:colOff>
      <xdr:row>92</xdr:row>
      <xdr:rowOff>42334</xdr:rowOff>
    </xdr:from>
    <xdr:to>
      <xdr:col>0</xdr:col>
      <xdr:colOff>1210098</xdr:colOff>
      <xdr:row>93</xdr:row>
      <xdr:rowOff>444924</xdr:rowOff>
    </xdr:to>
    <xdr:pic>
      <xdr:nvPicPr>
        <xdr:cNvPr id="29" name="图片 28"/>
        <xdr:cNvPicPr>
          <a:picLocks noChangeAspect="1"/>
        </xdr:cNvPicPr>
      </xdr:nvPicPr>
      <xdr:blipFill>
        <a:blip r:embed="rId28"/>
        <a:stretch>
          <a:fillRect/>
        </a:stretch>
      </xdr:blipFill>
      <xdr:spPr>
        <a:xfrm>
          <a:off x="137160" y="39670990"/>
          <a:ext cx="1072515" cy="910590"/>
        </a:xfrm>
        <a:prstGeom prst="rect">
          <a:avLst/>
        </a:prstGeom>
      </xdr:spPr>
    </xdr:pic>
    <xdr:clientData/>
  </xdr:twoCellAnchor>
  <xdr:twoCellAnchor editAs="oneCell">
    <xdr:from>
      <xdr:col>0</xdr:col>
      <xdr:colOff>137584</xdr:colOff>
      <xdr:row>94</xdr:row>
      <xdr:rowOff>188384</xdr:rowOff>
    </xdr:from>
    <xdr:to>
      <xdr:col>0</xdr:col>
      <xdr:colOff>1246294</xdr:colOff>
      <xdr:row>97</xdr:row>
      <xdr:rowOff>103929</xdr:rowOff>
    </xdr:to>
    <xdr:pic>
      <xdr:nvPicPr>
        <xdr:cNvPr id="30" name="图片 29"/>
        <xdr:cNvPicPr>
          <a:picLocks noChangeAspect="1" noChangeArrowheads="1"/>
        </xdr:cNvPicPr>
      </xdr:nvPicPr>
      <xdr:blipFill>
        <a:blip r:embed="rId29" cstate="print">
          <a:extLst>
            <a:ext uri="{28A0092B-C50C-407E-A947-70E740481C1C}">
              <a14:useLocalDpi xmlns:a14="http://schemas.microsoft.com/office/drawing/2010/main" val="0"/>
            </a:ext>
          </a:extLst>
        </a:blip>
        <a:srcRect/>
        <a:stretch>
          <a:fillRect/>
        </a:stretch>
      </xdr:blipFill>
      <xdr:spPr>
        <a:xfrm>
          <a:off x="137160" y="40833040"/>
          <a:ext cx="1108710" cy="10585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201084</xdr:colOff>
      <xdr:row>98</xdr:row>
      <xdr:rowOff>74085</xdr:rowOff>
    </xdr:from>
    <xdr:to>
      <xdr:col>0</xdr:col>
      <xdr:colOff>1104054</xdr:colOff>
      <xdr:row>100</xdr:row>
      <xdr:rowOff>295065</xdr:rowOff>
    </xdr:to>
    <xdr:pic>
      <xdr:nvPicPr>
        <xdr:cNvPr id="31" name="图片 30"/>
        <xdr:cNvPicPr>
          <a:picLocks noChangeAspect="1"/>
        </xdr:cNvPicPr>
      </xdr:nvPicPr>
      <xdr:blipFill>
        <a:blip r:embed="rId30"/>
        <a:stretch>
          <a:fillRect/>
        </a:stretch>
      </xdr:blipFill>
      <xdr:spPr>
        <a:xfrm>
          <a:off x="200660" y="42242740"/>
          <a:ext cx="902970" cy="982980"/>
        </a:xfrm>
        <a:prstGeom prst="rect">
          <a:avLst/>
        </a:prstGeom>
      </xdr:spPr>
    </xdr:pic>
    <xdr:clientData/>
  </xdr:twoCellAnchor>
  <xdr:twoCellAnchor editAs="oneCell">
    <xdr:from>
      <xdr:col>0</xdr:col>
      <xdr:colOff>275168</xdr:colOff>
      <xdr:row>101</xdr:row>
      <xdr:rowOff>63502</xdr:rowOff>
    </xdr:from>
    <xdr:to>
      <xdr:col>0</xdr:col>
      <xdr:colOff>1040343</xdr:colOff>
      <xdr:row>102</xdr:row>
      <xdr:rowOff>464822</xdr:rowOff>
    </xdr:to>
    <xdr:pic>
      <xdr:nvPicPr>
        <xdr:cNvPr id="32" name="图片 31"/>
        <xdr:cNvPicPr>
          <a:picLocks noChangeAspect="1" noChangeArrowheads="1"/>
        </xdr:cNvPicPr>
      </xdr:nvPicPr>
      <xdr:blipFill>
        <a:blip r:embed="rId31" cstate="print">
          <a:extLst>
            <a:ext uri="{28A0092B-C50C-407E-A947-70E740481C1C}">
              <a14:useLocalDpi xmlns:a14="http://schemas.microsoft.com/office/drawing/2010/main" val="0"/>
            </a:ext>
          </a:extLst>
        </a:blip>
        <a:srcRect/>
        <a:stretch>
          <a:fillRect/>
        </a:stretch>
      </xdr:blipFill>
      <xdr:spPr>
        <a:xfrm>
          <a:off x="274955" y="43375580"/>
          <a:ext cx="765175" cy="909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148166</xdr:colOff>
      <xdr:row>103</xdr:row>
      <xdr:rowOff>52918</xdr:rowOff>
    </xdr:from>
    <xdr:to>
      <xdr:col>0</xdr:col>
      <xdr:colOff>1145751</xdr:colOff>
      <xdr:row>103</xdr:row>
      <xdr:rowOff>921598</xdr:rowOff>
    </xdr:to>
    <xdr:pic>
      <xdr:nvPicPr>
        <xdr:cNvPr id="33" name="图片 32"/>
        <xdr:cNvPicPr>
          <a:picLocks noChangeAspect="1"/>
        </xdr:cNvPicPr>
      </xdr:nvPicPr>
      <xdr:blipFill>
        <a:blip r:embed="rId32"/>
        <a:stretch>
          <a:fillRect/>
        </a:stretch>
      </xdr:blipFill>
      <xdr:spPr>
        <a:xfrm>
          <a:off x="147955" y="44380785"/>
          <a:ext cx="997585" cy="868680"/>
        </a:xfrm>
        <a:prstGeom prst="rect">
          <a:avLst/>
        </a:prstGeom>
      </xdr:spPr>
    </xdr:pic>
    <xdr:clientData/>
  </xdr:twoCellAnchor>
  <xdr:twoCellAnchor editAs="oneCell">
    <xdr:from>
      <xdr:col>0</xdr:col>
      <xdr:colOff>116418</xdr:colOff>
      <xdr:row>104</xdr:row>
      <xdr:rowOff>296333</xdr:rowOff>
    </xdr:from>
    <xdr:to>
      <xdr:col>0</xdr:col>
      <xdr:colOff>1228938</xdr:colOff>
      <xdr:row>107</xdr:row>
      <xdr:rowOff>31538</xdr:rowOff>
    </xdr:to>
    <xdr:pic>
      <xdr:nvPicPr>
        <xdr:cNvPr id="34" name="图片 33"/>
        <xdr:cNvPicPr>
          <a:picLocks noChangeAspect="1"/>
        </xdr:cNvPicPr>
      </xdr:nvPicPr>
      <xdr:blipFill>
        <a:blip r:embed="rId33"/>
        <a:stretch>
          <a:fillRect/>
        </a:stretch>
      </xdr:blipFill>
      <xdr:spPr>
        <a:xfrm>
          <a:off x="116205" y="45639990"/>
          <a:ext cx="1112520" cy="878205"/>
        </a:xfrm>
        <a:prstGeom prst="rect">
          <a:avLst/>
        </a:prstGeom>
      </xdr:spPr>
    </xdr:pic>
    <xdr:clientData/>
  </xdr:twoCellAnchor>
  <xdr:twoCellAnchor editAs="oneCell">
    <xdr:from>
      <xdr:col>0</xdr:col>
      <xdr:colOff>211668</xdr:colOff>
      <xdr:row>108</xdr:row>
      <xdr:rowOff>105833</xdr:rowOff>
    </xdr:from>
    <xdr:to>
      <xdr:col>0</xdr:col>
      <xdr:colOff>997798</xdr:colOff>
      <xdr:row>109</xdr:row>
      <xdr:rowOff>409998</xdr:rowOff>
    </xdr:to>
    <xdr:pic>
      <xdr:nvPicPr>
        <xdr:cNvPr id="35" name="图片 34"/>
        <xdr:cNvPicPr>
          <a:picLocks noChangeAspect="1"/>
        </xdr:cNvPicPr>
      </xdr:nvPicPr>
      <xdr:blipFill>
        <a:blip r:embed="rId34"/>
        <a:stretch>
          <a:fillRect/>
        </a:stretch>
      </xdr:blipFill>
      <xdr:spPr>
        <a:xfrm>
          <a:off x="211455" y="46973490"/>
          <a:ext cx="786130" cy="812165"/>
        </a:xfrm>
        <a:prstGeom prst="rect">
          <a:avLst/>
        </a:prstGeom>
      </xdr:spPr>
    </xdr:pic>
    <xdr:clientData/>
  </xdr:twoCellAnchor>
  <xdr:twoCellAnchor editAs="oneCell">
    <xdr:from>
      <xdr:col>0</xdr:col>
      <xdr:colOff>264584</xdr:colOff>
      <xdr:row>110</xdr:row>
      <xdr:rowOff>105834</xdr:rowOff>
    </xdr:from>
    <xdr:to>
      <xdr:col>0</xdr:col>
      <xdr:colOff>1026584</xdr:colOff>
      <xdr:row>111</xdr:row>
      <xdr:rowOff>430319</xdr:rowOff>
    </xdr:to>
    <xdr:pic>
      <xdr:nvPicPr>
        <xdr:cNvPr id="36" name="图片 35"/>
        <xdr:cNvPicPr>
          <a:picLocks noChangeAspect="1"/>
        </xdr:cNvPicPr>
      </xdr:nvPicPr>
      <xdr:blipFill>
        <a:blip r:embed="rId35"/>
        <a:stretch>
          <a:fillRect/>
        </a:stretch>
      </xdr:blipFill>
      <xdr:spPr>
        <a:xfrm>
          <a:off x="264160" y="47989490"/>
          <a:ext cx="762000" cy="832485"/>
        </a:xfrm>
        <a:prstGeom prst="rect">
          <a:avLst/>
        </a:prstGeom>
      </xdr:spPr>
    </xdr:pic>
    <xdr:clientData/>
  </xdr:twoCellAnchor>
  <xdr:twoCellAnchor editAs="oneCell">
    <xdr:from>
      <xdr:col>0</xdr:col>
      <xdr:colOff>21167</xdr:colOff>
      <xdr:row>112</xdr:row>
      <xdr:rowOff>105835</xdr:rowOff>
    </xdr:from>
    <xdr:to>
      <xdr:col>0</xdr:col>
      <xdr:colOff>1190202</xdr:colOff>
      <xdr:row>114</xdr:row>
      <xdr:rowOff>315385</xdr:rowOff>
    </xdr:to>
    <xdr:pic>
      <xdr:nvPicPr>
        <xdr:cNvPr id="37" name="图片 36"/>
        <xdr:cNvPicPr>
          <a:picLocks noChangeAspect="1"/>
        </xdr:cNvPicPr>
      </xdr:nvPicPr>
      <xdr:blipFill>
        <a:blip r:embed="rId36"/>
        <a:stretch>
          <a:fillRect/>
        </a:stretch>
      </xdr:blipFill>
      <xdr:spPr>
        <a:xfrm>
          <a:off x="20955" y="49005490"/>
          <a:ext cx="1169035" cy="9715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ministrator\AppData\Roaming\Foxmail7\Temp-5528-20230725080002\Attach\MA-RR-915%20(Mini%20Brand%20Fashion%20S3%20%2077485%20#%20Production).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dministrator\AppData\Roaming\Foxmail7\Temp-5312-20240318093407\Attach\MA-RR-1112(Mini&#160;Brands&#160;Mini&#160;Fashion&#160;S3&#160;77485&#160;Material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MA Application"/>
      <sheetName val="MA-RR-915"/>
      <sheetName val="Summary"/>
      <sheetName val="Fashion S3 Ratio（不带鞋子）"/>
    </sheetNames>
    <sheetDataSet>
      <sheetData sheetId="0" refreshError="1"/>
      <sheetData sheetId="1" refreshError="1"/>
      <sheetData sheetId="2" refreshError="1">
        <row r="8">
          <cell r="I8">
            <v>5035.71428571429</v>
          </cell>
        </row>
        <row r="9">
          <cell r="I9">
            <v>5035.71428571429</v>
          </cell>
        </row>
        <row r="10">
          <cell r="I10">
            <v>5035.71428571429</v>
          </cell>
        </row>
        <row r="11">
          <cell r="I11">
            <v>5035.71428571429</v>
          </cell>
        </row>
        <row r="12">
          <cell r="I12">
            <v>5035.71428571429</v>
          </cell>
        </row>
        <row r="13">
          <cell r="I13">
            <v>5035.71428571429</v>
          </cell>
        </row>
        <row r="14">
          <cell r="I14">
            <v>5035.71428571429</v>
          </cell>
        </row>
        <row r="15">
          <cell r="I15">
            <v>5035.71428571429</v>
          </cell>
        </row>
        <row r="16">
          <cell r="I16">
            <v>5035.71428571429</v>
          </cell>
        </row>
        <row r="17">
          <cell r="I17">
            <v>5035.71428571429</v>
          </cell>
        </row>
        <row r="18">
          <cell r="I18">
            <v>5035.71428571429</v>
          </cell>
        </row>
        <row r="19">
          <cell r="I19">
            <v>5035.71428571429</v>
          </cell>
        </row>
        <row r="20">
          <cell r="I20">
            <v>5035.71428571429</v>
          </cell>
        </row>
        <row r="21">
          <cell r="I21">
            <v>5035.71428571429</v>
          </cell>
        </row>
        <row r="22">
          <cell r="I22">
            <v>5035.71428571429</v>
          </cell>
        </row>
        <row r="23">
          <cell r="I23">
            <v>5035.71428571429</v>
          </cell>
        </row>
        <row r="24">
          <cell r="I24">
            <v>5035.71428571429</v>
          </cell>
        </row>
        <row r="25">
          <cell r="I25">
            <v>5035.71428571429</v>
          </cell>
        </row>
        <row r="26">
          <cell r="I26">
            <v>5035.71428571429</v>
          </cell>
        </row>
        <row r="27">
          <cell r="I27">
            <v>5035.71428571429</v>
          </cell>
        </row>
        <row r="28">
          <cell r="I28">
            <v>5035.71428571429</v>
          </cell>
        </row>
        <row r="29">
          <cell r="I29">
            <v>2250</v>
          </cell>
        </row>
        <row r="30">
          <cell r="I30">
            <v>0</v>
          </cell>
        </row>
        <row r="31">
          <cell r="I31">
            <v>0</v>
          </cell>
        </row>
        <row r="32">
          <cell r="I32">
            <v>0</v>
          </cell>
        </row>
        <row r="33">
          <cell r="I33">
            <v>0</v>
          </cell>
        </row>
        <row r="34">
          <cell r="I34">
            <v>0</v>
          </cell>
        </row>
        <row r="35">
          <cell r="I35">
            <v>0</v>
          </cell>
        </row>
        <row r="35">
          <cell r="U35">
            <v>0</v>
          </cell>
        </row>
      </sheetData>
      <sheetData sheetId="3"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MA Application New"/>
      <sheetName val="MA-RR-1112"/>
      <sheetName val="Summary"/>
      <sheetName val="S2新Ratio布料"/>
      <sheetName val="77485布料 MOQ (分析)-Final"/>
      <sheetName val="77485布料 MA(工厂4.17）"/>
      <sheetName val="77485 布料MOQ（工厂4.13）"/>
      <sheetName val="Ratio"/>
    </sheetNames>
    <sheetDataSet>
      <sheetData sheetId="0"/>
      <sheetData sheetId="1"/>
      <sheetData sheetId="2"/>
      <sheetData sheetId="3">
        <row r="5">
          <cell r="AB5">
            <v>0</v>
          </cell>
        </row>
        <row r="9">
          <cell r="AB9">
            <v>6.9</v>
          </cell>
        </row>
        <row r="13">
          <cell r="AB13">
            <v>17.4</v>
          </cell>
        </row>
        <row r="15">
          <cell r="AB15">
            <v>147.333333333333</v>
          </cell>
        </row>
        <row r="16">
          <cell r="AB16">
            <v>45.3333333333333</v>
          </cell>
        </row>
        <row r="17">
          <cell r="AB17">
            <v>68</v>
          </cell>
        </row>
        <row r="21">
          <cell r="AB21">
            <v>0</v>
          </cell>
        </row>
        <row r="23">
          <cell r="AB23">
            <v>26.4</v>
          </cell>
        </row>
        <row r="26">
          <cell r="AB26">
            <v>6.9</v>
          </cell>
        </row>
        <row r="32">
          <cell r="AB32">
            <v>31.95</v>
          </cell>
        </row>
        <row r="34">
          <cell r="AB34">
            <v>6.75</v>
          </cell>
        </row>
        <row r="35">
          <cell r="AB35">
            <v>4500</v>
          </cell>
        </row>
        <row r="36">
          <cell r="AB36">
            <v>80.55</v>
          </cell>
        </row>
        <row r="37">
          <cell r="AB37">
            <v>56.7</v>
          </cell>
        </row>
        <row r="39">
          <cell r="AB39">
            <v>91.3095</v>
          </cell>
        </row>
        <row r="40">
          <cell r="AB40">
            <v>0</v>
          </cell>
        </row>
        <row r="41">
          <cell r="AB41">
            <v>0</v>
          </cell>
        </row>
        <row r="42">
          <cell r="AB42">
            <v>0</v>
          </cell>
        </row>
        <row r="44">
          <cell r="AB44">
            <v>68.598</v>
          </cell>
        </row>
        <row r="45">
          <cell r="AB45">
            <v>33300</v>
          </cell>
        </row>
        <row r="46">
          <cell r="AB46">
            <v>68.598</v>
          </cell>
        </row>
        <row r="48">
          <cell r="AB48">
            <v>82.194</v>
          </cell>
        </row>
        <row r="49">
          <cell r="AB49">
            <v>52.53</v>
          </cell>
        </row>
        <row r="50">
          <cell r="AB50">
            <v>6000</v>
          </cell>
        </row>
        <row r="51">
          <cell r="AB51">
            <v>45.423</v>
          </cell>
        </row>
        <row r="52">
          <cell r="AB52">
            <v>16.377</v>
          </cell>
        </row>
        <row r="53">
          <cell r="AB53">
            <v>16.995</v>
          </cell>
        </row>
        <row r="54">
          <cell r="AB54">
            <v>3000</v>
          </cell>
        </row>
        <row r="55">
          <cell r="AB55">
            <v>9.3627</v>
          </cell>
        </row>
        <row r="56">
          <cell r="AB56">
            <v>1.9467</v>
          </cell>
        </row>
        <row r="57">
          <cell r="AB57">
            <v>900</v>
          </cell>
        </row>
        <row r="58">
          <cell r="AB58">
            <v>44.496</v>
          </cell>
        </row>
        <row r="59">
          <cell r="AB59">
            <v>37.08</v>
          </cell>
        </row>
        <row r="61">
          <cell r="AB61">
            <v>259.56</v>
          </cell>
        </row>
        <row r="62">
          <cell r="AB62">
            <v>69.216</v>
          </cell>
        </row>
        <row r="63">
          <cell r="AB63">
            <v>6.18</v>
          </cell>
        </row>
        <row r="65">
          <cell r="AB65">
            <v>64.89</v>
          </cell>
        </row>
        <row r="66">
          <cell r="AB66">
            <v>17.304</v>
          </cell>
        </row>
        <row r="68">
          <cell r="AB68">
            <v>3000</v>
          </cell>
        </row>
        <row r="69">
          <cell r="AB69">
            <v>54</v>
          </cell>
        </row>
        <row r="70">
          <cell r="AB70">
            <v>4.2</v>
          </cell>
        </row>
        <row r="71">
          <cell r="AB71">
            <v>19.5</v>
          </cell>
        </row>
        <row r="72">
          <cell r="AB72">
            <v>3000</v>
          </cell>
        </row>
        <row r="73">
          <cell r="AB73">
            <v>55.5</v>
          </cell>
        </row>
        <row r="74">
          <cell r="AB74">
            <v>8.7</v>
          </cell>
        </row>
        <row r="75">
          <cell r="AB75">
            <v>3000</v>
          </cell>
        </row>
        <row r="77">
          <cell r="AB77">
            <v>13.905</v>
          </cell>
        </row>
        <row r="78">
          <cell r="AB78">
            <v>4500</v>
          </cell>
        </row>
      </sheetData>
      <sheetData sheetId="4"/>
      <sheetData sheetId="5"/>
      <sheetData sheetId="6"/>
      <sheetData sheetId="7"/>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20"/>
  <sheetViews>
    <sheetView zoomScale="70" zoomScaleNormal="70" workbookViewId="0">
      <pane xSplit="14" ySplit="1" topLeftCell="U2" activePane="bottomRight" state="frozen"/>
      <selection/>
      <selection pane="topRight"/>
      <selection pane="bottomLeft"/>
      <selection pane="bottomRight" activeCell="D34" sqref="D34"/>
    </sheetView>
  </sheetViews>
  <sheetFormatPr defaultColWidth="9" defaultRowHeight="13.5"/>
  <cols>
    <col min="1" max="1" width="11.9666666666667" style="811" customWidth="1"/>
    <col min="2" max="2" width="14.1083333333333" style="810" customWidth="1"/>
    <col min="3" max="3" width="11.0583333333333" style="810" customWidth="1"/>
    <col min="4" max="4" width="14.7583333333333" style="810" customWidth="1"/>
    <col min="5" max="5" width="10.4416666666667" style="810" customWidth="1"/>
    <col min="6" max="6" width="16.8916666666667" style="810" customWidth="1"/>
    <col min="7" max="7" width="14.6833333333333" style="810" customWidth="1"/>
    <col min="8" max="8" width="15" style="810" customWidth="1"/>
    <col min="9" max="9" width="10.2583333333333" style="810" customWidth="1"/>
    <col min="10" max="10" width="7.575" style="810" customWidth="1"/>
    <col min="11" max="11" width="7.76666666666667" style="810" customWidth="1"/>
    <col min="12" max="12" width="8.75833333333333" style="810" customWidth="1"/>
    <col min="13" max="14" width="18.1083333333333" style="810" customWidth="1"/>
    <col min="15" max="15" width="11.8" style="810" customWidth="1"/>
    <col min="16" max="16" width="10" style="810" customWidth="1"/>
    <col min="17" max="17" width="12.675" style="810" customWidth="1"/>
    <col min="18" max="19" width="9.55833333333333" style="810" customWidth="1"/>
    <col min="20" max="20" width="11.5916666666667" style="810" customWidth="1"/>
    <col min="21" max="21" width="60.3416666666667" style="810" customWidth="1"/>
    <col min="22" max="22" width="12.2583333333333" style="810" customWidth="1"/>
    <col min="23" max="23" width="12.675" style="813" customWidth="1"/>
    <col min="24" max="24" width="11.4166666666667" style="814" customWidth="1"/>
    <col min="25" max="25" width="13.3916666666667" style="815" customWidth="1"/>
    <col min="26" max="26" width="14.275" style="815" customWidth="1"/>
    <col min="27" max="27" width="9.99166666666667" style="815" customWidth="1"/>
    <col min="28" max="28" width="9.65" style="815" customWidth="1"/>
    <col min="29" max="29" width="7.84166666666667" style="810" customWidth="1"/>
    <col min="30" max="30" width="10.35" style="818" customWidth="1"/>
    <col min="31" max="31" width="8.94166666666667" style="1081" customWidth="1"/>
    <col min="32" max="32" width="8.94166666666667" style="819" customWidth="1"/>
    <col min="33" max="33" width="7.85833333333333" style="1099" customWidth="1"/>
    <col min="34" max="34" width="6.6" style="819" customWidth="1"/>
    <col min="35" max="45" width="9" style="810"/>
    <col min="46" max="51" width="11.8916666666667" style="810"/>
    <col min="52" max="52" width="14.3333333333333" style="810"/>
    <col min="53" max="53" width="9" style="810"/>
    <col min="54" max="57" width="10.65" style="810" customWidth="1"/>
    <col min="58" max="58" width="9" style="810"/>
    <col min="59" max="59" width="9.38333333333333" style="810"/>
    <col min="60" max="60" width="9" style="810"/>
    <col min="61" max="61" width="11.8916666666667" style="810"/>
    <col min="62" max="16384" width="9" style="810"/>
  </cols>
  <sheetData>
    <row r="1" s="1223" customFormat="1" ht="63" customHeight="1" spans="1:62">
      <c r="A1" s="1226" t="s">
        <v>0</v>
      </c>
      <c r="B1" s="1227" t="s">
        <v>1</v>
      </c>
      <c r="C1" s="1227" t="s">
        <v>2</v>
      </c>
      <c r="D1" s="1227" t="s">
        <v>3</v>
      </c>
      <c r="E1" s="1228" t="s">
        <v>4</v>
      </c>
      <c r="F1" s="1228" t="s">
        <v>5</v>
      </c>
      <c r="G1" s="1227" t="s">
        <v>6</v>
      </c>
      <c r="H1" s="1227" t="s">
        <v>7</v>
      </c>
      <c r="I1" s="1227" t="s">
        <v>8</v>
      </c>
      <c r="J1" s="1227" t="s">
        <v>9</v>
      </c>
      <c r="K1" s="1227" t="s">
        <v>10</v>
      </c>
      <c r="L1" s="1227" t="s">
        <v>11</v>
      </c>
      <c r="M1" s="1247" t="s">
        <v>12</v>
      </c>
      <c r="N1" s="1247" t="s">
        <v>13</v>
      </c>
      <c r="O1" s="1248" t="s">
        <v>14</v>
      </c>
      <c r="P1" s="1248" t="s">
        <v>15</v>
      </c>
      <c r="Q1" s="1227" t="s">
        <v>16</v>
      </c>
      <c r="R1" s="1257" t="s">
        <v>17</v>
      </c>
      <c r="S1" s="1257" t="s">
        <v>18</v>
      </c>
      <c r="T1" s="1257" t="s">
        <v>19</v>
      </c>
      <c r="U1" s="1223" t="s">
        <v>20</v>
      </c>
      <c r="V1" s="1227" t="s">
        <v>21</v>
      </c>
      <c r="W1" s="1258" t="s">
        <v>22</v>
      </c>
      <c r="X1" s="1259" t="s">
        <v>23</v>
      </c>
      <c r="Y1" s="1274" t="s">
        <v>24</v>
      </c>
      <c r="Z1" s="1248" t="s">
        <v>25</v>
      </c>
      <c r="AA1" s="1248" t="s">
        <v>26</v>
      </c>
      <c r="AB1" s="1248" t="s">
        <v>27</v>
      </c>
      <c r="AC1" s="1248" t="s">
        <v>28</v>
      </c>
      <c r="AD1" s="1275" t="s">
        <v>29</v>
      </c>
      <c r="AE1" s="1275" t="s">
        <v>30</v>
      </c>
      <c r="AF1" s="1276" t="s">
        <v>31</v>
      </c>
      <c r="AG1" s="996" t="s">
        <v>32</v>
      </c>
      <c r="AH1" s="1276" t="s">
        <v>33</v>
      </c>
      <c r="AI1" s="1284" t="s">
        <v>34</v>
      </c>
      <c r="AJ1" s="1284" t="s">
        <v>35</v>
      </c>
      <c r="AK1" s="1284" t="s">
        <v>36</v>
      </c>
      <c r="AL1" s="1284" t="s">
        <v>37</v>
      </c>
      <c r="AM1" s="1284" t="s">
        <v>38</v>
      </c>
      <c r="AN1" s="1284" t="s">
        <v>39</v>
      </c>
      <c r="AO1" s="1284"/>
      <c r="AP1" s="1284"/>
      <c r="AQ1" s="1290"/>
      <c r="AR1" s="1290"/>
      <c r="AS1" s="1290"/>
      <c r="AT1" s="1291"/>
      <c r="AU1" s="1291"/>
      <c r="AV1" s="1291"/>
      <c r="AW1" s="1284"/>
      <c r="AX1" s="1284"/>
      <c r="AY1" s="1284"/>
      <c r="AZ1" s="1284"/>
      <c r="BA1" s="1284"/>
      <c r="BB1" s="1284"/>
      <c r="BC1" s="1284"/>
      <c r="BD1" s="1284"/>
      <c r="BE1" s="1284"/>
      <c r="BF1" s="1293"/>
      <c r="BG1" s="1284"/>
      <c r="BH1" s="1284"/>
      <c r="BI1" s="1284"/>
      <c r="BJ1" s="1284"/>
    </row>
    <row r="2" s="1224" customFormat="1" ht="31" customHeight="1" spans="1:39">
      <c r="A2" s="1229">
        <v>45614</v>
      </c>
      <c r="B2" s="1230" t="s">
        <v>40</v>
      </c>
      <c r="C2" s="1231" t="s">
        <v>41</v>
      </c>
      <c r="D2" s="1232">
        <v>4500151559</v>
      </c>
      <c r="E2" s="1233" t="s">
        <v>42</v>
      </c>
      <c r="F2" s="1232" t="s">
        <v>43</v>
      </c>
      <c r="G2" s="1234" t="s">
        <v>44</v>
      </c>
      <c r="H2" s="1235" t="s">
        <v>45</v>
      </c>
      <c r="I2" s="1235">
        <v>24</v>
      </c>
      <c r="J2" s="1235">
        <v>0</v>
      </c>
      <c r="K2" s="1235">
        <v>4</v>
      </c>
      <c r="L2" s="1249">
        <f t="shared" ref="L2:L10" si="0">I2/K2</f>
        <v>6</v>
      </c>
      <c r="M2" s="1250">
        <v>45649</v>
      </c>
      <c r="N2" s="1250">
        <v>45645</v>
      </c>
      <c r="O2" s="1251"/>
      <c r="P2" s="1252" t="s">
        <v>46</v>
      </c>
      <c r="Q2" s="1260"/>
      <c r="R2" s="1261" t="s">
        <v>47</v>
      </c>
      <c r="S2" s="1261" t="s">
        <v>48</v>
      </c>
      <c r="T2" s="1261" t="s">
        <v>49</v>
      </c>
      <c r="U2" s="1262" t="s">
        <v>50</v>
      </c>
      <c r="V2" s="1263" t="s">
        <v>51</v>
      </c>
      <c r="W2" s="1264">
        <v>8.2879</v>
      </c>
      <c r="X2" s="1265">
        <f>I2*W2</f>
        <v>198.9096</v>
      </c>
      <c r="Y2" s="1260" t="s">
        <v>52</v>
      </c>
      <c r="Z2" s="1260" t="s">
        <v>44</v>
      </c>
      <c r="AA2" s="1234" t="s">
        <v>53</v>
      </c>
      <c r="AB2" s="1260" t="s">
        <v>54</v>
      </c>
      <c r="AC2" s="1277"/>
      <c r="AD2" s="1278">
        <v>24</v>
      </c>
      <c r="AE2" s="1251">
        <f t="shared" ref="AE2:AE10" si="1">AD2-I2</f>
        <v>0</v>
      </c>
      <c r="AF2" s="1279"/>
      <c r="AG2" s="1285" t="s">
        <v>55</v>
      </c>
      <c r="AH2" s="1260"/>
      <c r="AI2" s="1286">
        <f t="shared" ref="AI2:AI10" si="2">I2</f>
        <v>24</v>
      </c>
      <c r="AJ2" s="1286"/>
      <c r="AK2" s="1224">
        <f t="shared" ref="AK2:AK10" si="3">I2</f>
        <v>24</v>
      </c>
      <c r="AL2" s="1286">
        <f t="shared" ref="AL2:AL10" si="4">I2</f>
        <v>24</v>
      </c>
      <c r="AM2" s="1286"/>
    </row>
    <row r="3" s="1224" customFormat="1" ht="31" customHeight="1" spans="1:39">
      <c r="A3" s="1229">
        <v>45631</v>
      </c>
      <c r="B3" s="1230"/>
      <c r="C3" s="1231"/>
      <c r="D3" s="1232" t="s">
        <v>56</v>
      </c>
      <c r="E3" s="1233"/>
      <c r="F3" s="1232"/>
      <c r="G3" s="1234" t="s">
        <v>44</v>
      </c>
      <c r="H3" s="1235" t="s">
        <v>45</v>
      </c>
      <c r="I3" s="1235">
        <v>60</v>
      </c>
      <c r="J3" s="1235">
        <v>0</v>
      </c>
      <c r="K3" s="1235">
        <v>4</v>
      </c>
      <c r="L3" s="1249">
        <f t="shared" si="0"/>
        <v>15</v>
      </c>
      <c r="M3" s="1250">
        <v>45649</v>
      </c>
      <c r="N3" s="1250">
        <v>45645</v>
      </c>
      <c r="O3" s="1251"/>
      <c r="P3" s="1252"/>
      <c r="Q3" s="1260"/>
      <c r="R3" s="1261" t="s">
        <v>57</v>
      </c>
      <c r="S3" s="1261" t="s">
        <v>58</v>
      </c>
      <c r="T3" s="1261" t="s">
        <v>58</v>
      </c>
      <c r="U3" s="1262" t="s">
        <v>59</v>
      </c>
      <c r="V3" s="1263" t="s">
        <v>60</v>
      </c>
      <c r="W3" s="1264"/>
      <c r="X3" s="1265"/>
      <c r="Y3" s="1260" t="s">
        <v>61</v>
      </c>
      <c r="Z3" s="1260" t="s">
        <v>44</v>
      </c>
      <c r="AA3" s="1234" t="s">
        <v>53</v>
      </c>
      <c r="AB3" s="1260" t="s">
        <v>54</v>
      </c>
      <c r="AC3" s="1277"/>
      <c r="AD3" s="1278">
        <v>60</v>
      </c>
      <c r="AE3" s="1251">
        <f t="shared" si="1"/>
        <v>0</v>
      </c>
      <c r="AF3" s="1279"/>
      <c r="AG3" s="1285"/>
      <c r="AH3" s="1260"/>
      <c r="AI3" s="1286">
        <f t="shared" si="2"/>
        <v>60</v>
      </c>
      <c r="AJ3" s="1286"/>
      <c r="AK3" s="1224">
        <f t="shared" si="3"/>
        <v>60</v>
      </c>
      <c r="AL3" s="1286">
        <f t="shared" si="4"/>
        <v>60</v>
      </c>
      <c r="AM3" s="1286"/>
    </row>
    <row r="4" s="1224" customFormat="1" ht="31" customHeight="1" spans="1:39">
      <c r="A4" s="1229">
        <v>45702</v>
      </c>
      <c r="B4" s="1230" t="s">
        <v>62</v>
      </c>
      <c r="C4" s="1231" t="s">
        <v>63</v>
      </c>
      <c r="D4" s="1232">
        <v>4500157680</v>
      </c>
      <c r="E4" s="1233" t="s">
        <v>64</v>
      </c>
      <c r="F4" s="1232" t="s">
        <v>65</v>
      </c>
      <c r="G4" s="1234" t="s">
        <v>44</v>
      </c>
      <c r="H4" s="1235" t="s">
        <v>45</v>
      </c>
      <c r="I4" s="1235">
        <v>548</v>
      </c>
      <c r="J4" s="1235">
        <v>0</v>
      </c>
      <c r="K4" s="1235">
        <v>4</v>
      </c>
      <c r="L4" s="1249">
        <f t="shared" si="0"/>
        <v>137</v>
      </c>
      <c r="M4" s="1250">
        <v>45741</v>
      </c>
      <c r="N4" s="1250">
        <v>45737</v>
      </c>
      <c r="O4" s="1251"/>
      <c r="P4" s="1252" t="s">
        <v>46</v>
      </c>
      <c r="Q4" s="1260"/>
      <c r="R4" s="1261">
        <v>45712</v>
      </c>
      <c r="S4" s="1261" t="s">
        <v>58</v>
      </c>
      <c r="T4" s="1261">
        <v>45707</v>
      </c>
      <c r="U4" s="1262" t="s">
        <v>66</v>
      </c>
      <c r="V4" s="1263" t="s">
        <v>67</v>
      </c>
      <c r="W4" s="1264">
        <v>7.6428</v>
      </c>
      <c r="X4" s="1265">
        <f t="shared" ref="X4:X10" si="5">W4*I4</f>
        <v>4188.2544</v>
      </c>
      <c r="Y4" s="1260" t="s">
        <v>68</v>
      </c>
      <c r="Z4" s="1260" t="s">
        <v>44</v>
      </c>
      <c r="AA4" s="1234" t="s">
        <v>53</v>
      </c>
      <c r="AB4" s="1260" t="s">
        <v>54</v>
      </c>
      <c r="AC4" s="1277"/>
      <c r="AD4" s="1278">
        <v>548</v>
      </c>
      <c r="AE4" s="1251">
        <f t="shared" si="1"/>
        <v>0</v>
      </c>
      <c r="AF4" s="1279"/>
      <c r="AG4" s="1285" t="s">
        <v>58</v>
      </c>
      <c r="AH4" s="1260"/>
      <c r="AI4" s="1286">
        <f t="shared" si="2"/>
        <v>548</v>
      </c>
      <c r="AJ4" s="1286"/>
      <c r="AK4" s="1224">
        <f t="shared" si="3"/>
        <v>548</v>
      </c>
      <c r="AL4" s="1286">
        <f t="shared" si="4"/>
        <v>548</v>
      </c>
      <c r="AM4" s="1286"/>
    </row>
    <row r="5" s="1224" customFormat="1" ht="31" customHeight="1" spans="1:39">
      <c r="A5" s="1229">
        <v>45702</v>
      </c>
      <c r="B5" s="1230" t="s">
        <v>69</v>
      </c>
      <c r="C5" s="1231" t="s">
        <v>70</v>
      </c>
      <c r="D5" s="1232">
        <v>4500157675</v>
      </c>
      <c r="E5" s="1233" t="s">
        <v>71</v>
      </c>
      <c r="F5" s="1232" t="s">
        <v>72</v>
      </c>
      <c r="G5" s="1234" t="s">
        <v>44</v>
      </c>
      <c r="H5" s="1235" t="s">
        <v>45</v>
      </c>
      <c r="I5" s="1235">
        <v>548</v>
      </c>
      <c r="J5" s="1235">
        <v>0</v>
      </c>
      <c r="K5" s="1235">
        <v>4</v>
      </c>
      <c r="L5" s="1249">
        <f t="shared" si="0"/>
        <v>137</v>
      </c>
      <c r="M5" s="1250">
        <v>45741</v>
      </c>
      <c r="N5" s="1250">
        <v>45737</v>
      </c>
      <c r="O5" s="1251"/>
      <c r="P5" s="1252" t="s">
        <v>46</v>
      </c>
      <c r="Q5" s="1260"/>
      <c r="R5" s="1261">
        <v>45712</v>
      </c>
      <c r="S5" s="1261" t="s">
        <v>58</v>
      </c>
      <c r="T5" s="1261">
        <v>45707</v>
      </c>
      <c r="U5" s="1262" t="s">
        <v>73</v>
      </c>
      <c r="V5" s="1263" t="s">
        <v>67</v>
      </c>
      <c r="W5" s="1264">
        <v>7.339</v>
      </c>
      <c r="X5" s="1265">
        <f t="shared" si="5"/>
        <v>4021.772</v>
      </c>
      <c r="Y5" s="1260" t="s">
        <v>74</v>
      </c>
      <c r="Z5" s="1260" t="s">
        <v>44</v>
      </c>
      <c r="AA5" s="1234" t="s">
        <v>53</v>
      </c>
      <c r="AB5" s="1260" t="s">
        <v>54</v>
      </c>
      <c r="AC5" s="1277"/>
      <c r="AD5" s="1278">
        <v>548</v>
      </c>
      <c r="AE5" s="1251">
        <f t="shared" si="1"/>
        <v>0</v>
      </c>
      <c r="AF5" s="1279"/>
      <c r="AG5" s="1285" t="s">
        <v>55</v>
      </c>
      <c r="AH5" s="1260"/>
      <c r="AI5" s="1286">
        <f t="shared" si="2"/>
        <v>548</v>
      </c>
      <c r="AJ5" s="1286"/>
      <c r="AK5" s="1224">
        <f t="shared" si="3"/>
        <v>548</v>
      </c>
      <c r="AL5" s="1286">
        <f t="shared" si="4"/>
        <v>548</v>
      </c>
      <c r="AM5" s="1286"/>
    </row>
    <row r="6" s="1224" customFormat="1" ht="31" customHeight="1" spans="1:39">
      <c r="A6" s="1229">
        <v>45756</v>
      </c>
      <c r="B6" s="1230" t="s">
        <v>40</v>
      </c>
      <c r="C6" s="1231" t="s">
        <v>41</v>
      </c>
      <c r="D6" s="1232">
        <v>4500163057</v>
      </c>
      <c r="E6" s="1233" t="s">
        <v>75</v>
      </c>
      <c r="F6" s="1232" t="s">
        <v>76</v>
      </c>
      <c r="G6" s="1234" t="s">
        <v>44</v>
      </c>
      <c r="H6" s="1235" t="s">
        <v>45</v>
      </c>
      <c r="I6" s="1235">
        <v>92</v>
      </c>
      <c r="J6" s="1235">
        <v>0</v>
      </c>
      <c r="K6" s="1235">
        <v>4</v>
      </c>
      <c r="L6" s="1249">
        <f t="shared" si="0"/>
        <v>23</v>
      </c>
      <c r="M6" s="1250">
        <v>45812</v>
      </c>
      <c r="N6" s="1250">
        <f>M6-4</f>
        <v>45808</v>
      </c>
      <c r="O6" s="1251"/>
      <c r="P6" s="1252" t="s">
        <v>46</v>
      </c>
      <c r="Q6" s="1260"/>
      <c r="R6" s="1261" t="s">
        <v>77</v>
      </c>
      <c r="S6" s="1261" t="s">
        <v>48</v>
      </c>
      <c r="T6" s="1261" t="s">
        <v>49</v>
      </c>
      <c r="U6" s="1262" t="s">
        <v>78</v>
      </c>
      <c r="V6" s="1263" t="s">
        <v>79</v>
      </c>
      <c r="W6" s="1264">
        <v>8.1164</v>
      </c>
      <c r="X6" s="1265">
        <f t="shared" si="5"/>
        <v>746.7088</v>
      </c>
      <c r="Y6" s="1260" t="s">
        <v>80</v>
      </c>
      <c r="Z6" s="1260" t="s">
        <v>44</v>
      </c>
      <c r="AA6" s="1234" t="s">
        <v>53</v>
      </c>
      <c r="AB6" s="1260" t="s">
        <v>54</v>
      </c>
      <c r="AC6" s="1277"/>
      <c r="AD6" s="1278">
        <v>92</v>
      </c>
      <c r="AE6" s="1251">
        <f t="shared" si="1"/>
        <v>0</v>
      </c>
      <c r="AF6" s="1279"/>
      <c r="AG6" s="1285" t="s">
        <v>55</v>
      </c>
      <c r="AH6" s="1260"/>
      <c r="AI6" s="1286">
        <f t="shared" si="2"/>
        <v>92</v>
      </c>
      <c r="AJ6" s="1286"/>
      <c r="AK6" s="1224">
        <f t="shared" si="3"/>
        <v>92</v>
      </c>
      <c r="AL6" s="1286">
        <f t="shared" si="4"/>
        <v>92</v>
      </c>
      <c r="AM6" s="1286"/>
    </row>
    <row r="7" s="1224" customFormat="1" ht="31" customHeight="1" spans="1:39">
      <c r="A7" s="1229">
        <v>45756</v>
      </c>
      <c r="B7" s="1230" t="s">
        <v>40</v>
      </c>
      <c r="C7" s="1231" t="s">
        <v>41</v>
      </c>
      <c r="D7" s="1232">
        <v>4500163057</v>
      </c>
      <c r="E7" s="1233" t="s">
        <v>81</v>
      </c>
      <c r="F7" s="1232" t="s">
        <v>82</v>
      </c>
      <c r="G7" s="1234" t="s">
        <v>44</v>
      </c>
      <c r="H7" s="1235" t="s">
        <v>45</v>
      </c>
      <c r="I7" s="1235">
        <v>64</v>
      </c>
      <c r="J7" s="1235">
        <v>0</v>
      </c>
      <c r="K7" s="1235">
        <v>4</v>
      </c>
      <c r="L7" s="1249">
        <f t="shared" si="0"/>
        <v>16</v>
      </c>
      <c r="M7" s="1250">
        <v>45812</v>
      </c>
      <c r="N7" s="1250">
        <f>M7-4</f>
        <v>45808</v>
      </c>
      <c r="O7" s="1251"/>
      <c r="P7" s="1252" t="s">
        <v>46</v>
      </c>
      <c r="Q7" s="1260"/>
      <c r="R7" s="1261" t="s">
        <v>77</v>
      </c>
      <c r="S7" s="1261" t="s">
        <v>48</v>
      </c>
      <c r="T7" s="1261" t="s">
        <v>49</v>
      </c>
      <c r="U7" s="1262" t="s">
        <v>78</v>
      </c>
      <c r="V7" s="1263" t="s">
        <v>79</v>
      </c>
      <c r="W7" s="1264">
        <v>8.1164</v>
      </c>
      <c r="X7" s="1265">
        <f t="shared" si="5"/>
        <v>519.4496</v>
      </c>
      <c r="Y7" s="1260" t="s">
        <v>80</v>
      </c>
      <c r="Z7" s="1260" t="s">
        <v>44</v>
      </c>
      <c r="AA7" s="1234" t="s">
        <v>53</v>
      </c>
      <c r="AB7" s="1260" t="s">
        <v>54</v>
      </c>
      <c r="AC7" s="1277"/>
      <c r="AD7" s="1278">
        <v>64</v>
      </c>
      <c r="AE7" s="1251">
        <f t="shared" si="1"/>
        <v>0</v>
      </c>
      <c r="AF7" s="1279"/>
      <c r="AG7" s="1285" t="s">
        <v>55</v>
      </c>
      <c r="AH7" s="1260"/>
      <c r="AI7" s="1286">
        <f t="shared" si="2"/>
        <v>64</v>
      </c>
      <c r="AJ7" s="1286"/>
      <c r="AK7" s="1224">
        <f t="shared" si="3"/>
        <v>64</v>
      </c>
      <c r="AL7" s="1286">
        <f t="shared" si="4"/>
        <v>64</v>
      </c>
      <c r="AM7" s="1286"/>
    </row>
    <row r="8" s="1225" customFormat="1" ht="31" customHeight="1" spans="1:39">
      <c r="A8" s="1236">
        <v>45818</v>
      </c>
      <c r="B8" s="1237" t="s">
        <v>83</v>
      </c>
      <c r="C8" s="1238" t="s">
        <v>84</v>
      </c>
      <c r="D8" s="1239">
        <v>4500169495</v>
      </c>
      <c r="E8" s="1240" t="s">
        <v>85</v>
      </c>
      <c r="F8" s="1239" t="s">
        <v>86</v>
      </c>
      <c r="G8" s="1241" t="s">
        <v>87</v>
      </c>
      <c r="H8" s="1242" t="s">
        <v>45</v>
      </c>
      <c r="I8" s="1242">
        <v>212</v>
      </c>
      <c r="J8" s="1242">
        <v>0</v>
      </c>
      <c r="K8" s="1242">
        <v>4</v>
      </c>
      <c r="L8" s="1253">
        <f t="shared" si="0"/>
        <v>53</v>
      </c>
      <c r="M8" s="1254">
        <v>45855</v>
      </c>
      <c r="N8" s="1254">
        <v>45852</v>
      </c>
      <c r="O8" s="1255"/>
      <c r="P8" s="1256" t="s">
        <v>46</v>
      </c>
      <c r="Q8" s="1266"/>
      <c r="R8" s="1267">
        <v>45818</v>
      </c>
      <c r="S8" s="1267" t="s">
        <v>58</v>
      </c>
      <c r="T8" s="1267" t="s">
        <v>58</v>
      </c>
      <c r="U8" s="1268" t="s">
        <v>88</v>
      </c>
      <c r="V8" s="1269" t="s">
        <v>89</v>
      </c>
      <c r="W8" s="1270">
        <v>4.4908</v>
      </c>
      <c r="X8" s="1271">
        <f t="shared" si="5"/>
        <v>952.0496</v>
      </c>
      <c r="Y8" s="1266" t="s">
        <v>90</v>
      </c>
      <c r="Z8" s="1266" t="s">
        <v>44</v>
      </c>
      <c r="AA8" s="1241" t="s">
        <v>53</v>
      </c>
      <c r="AB8" s="1266" t="s">
        <v>54</v>
      </c>
      <c r="AC8" s="1280"/>
      <c r="AD8" s="1281">
        <v>212</v>
      </c>
      <c r="AE8" s="1255">
        <f t="shared" si="1"/>
        <v>0</v>
      </c>
      <c r="AF8" s="1282"/>
      <c r="AG8" s="1287" t="s">
        <v>58</v>
      </c>
      <c r="AH8" s="1266"/>
      <c r="AI8" s="1288">
        <f t="shared" si="2"/>
        <v>212</v>
      </c>
      <c r="AJ8" s="1288"/>
      <c r="AK8" s="1225">
        <f t="shared" si="3"/>
        <v>212</v>
      </c>
      <c r="AL8" s="1288">
        <f t="shared" si="4"/>
        <v>212</v>
      </c>
      <c r="AM8" s="1288"/>
    </row>
    <row r="9" s="804" customFormat="1" ht="31" customHeight="1" spans="1:38">
      <c r="A9" s="1243">
        <v>45744</v>
      </c>
      <c r="B9" s="1244" t="s">
        <v>91</v>
      </c>
      <c r="C9" s="958" t="s">
        <v>92</v>
      </c>
      <c r="D9" s="1245">
        <v>4500161685</v>
      </c>
      <c r="E9" s="958"/>
      <c r="F9" s="958" t="s">
        <v>93</v>
      </c>
      <c r="G9" s="1246" t="s">
        <v>44</v>
      </c>
      <c r="H9" s="905" t="s">
        <v>45</v>
      </c>
      <c r="I9" s="905">
        <v>100</v>
      </c>
      <c r="J9" s="905">
        <v>0</v>
      </c>
      <c r="K9" s="905">
        <v>4</v>
      </c>
      <c r="L9" s="1114">
        <f t="shared" si="0"/>
        <v>25</v>
      </c>
      <c r="M9" s="928">
        <v>45880</v>
      </c>
      <c r="N9" s="928">
        <v>45876</v>
      </c>
      <c r="O9" s="930"/>
      <c r="P9" s="1115" t="s">
        <v>46</v>
      </c>
      <c r="Q9" s="908"/>
      <c r="R9" s="942">
        <v>45784</v>
      </c>
      <c r="S9" s="1272" t="s">
        <v>58</v>
      </c>
      <c r="T9" s="942">
        <v>45856</v>
      </c>
      <c r="U9" s="1273" t="s">
        <v>94</v>
      </c>
      <c r="V9" s="928" t="s">
        <v>95</v>
      </c>
      <c r="W9" s="1125">
        <v>7.1871</v>
      </c>
      <c r="X9" s="1126">
        <f t="shared" si="5"/>
        <v>718.71</v>
      </c>
      <c r="Y9" s="908" t="s">
        <v>96</v>
      </c>
      <c r="Z9" s="1246" t="s">
        <v>44</v>
      </c>
      <c r="AA9" s="908" t="s">
        <v>53</v>
      </c>
      <c r="AB9" s="1266" t="s">
        <v>54</v>
      </c>
      <c r="AC9" s="958"/>
      <c r="AD9" s="1283">
        <v>100</v>
      </c>
      <c r="AE9" s="1255">
        <f t="shared" si="1"/>
        <v>0</v>
      </c>
      <c r="AF9" s="959"/>
      <c r="AG9" s="958" t="s">
        <v>55</v>
      </c>
      <c r="AH9" s="908"/>
      <c r="AI9" s="969">
        <f t="shared" si="2"/>
        <v>100</v>
      </c>
      <c r="AK9" s="804">
        <f t="shared" si="3"/>
        <v>100</v>
      </c>
      <c r="AL9" s="969">
        <f t="shared" si="4"/>
        <v>100</v>
      </c>
    </row>
    <row r="10" s="804" customFormat="1" ht="31" customHeight="1" spans="1:38">
      <c r="A10" s="1243">
        <v>45840</v>
      </c>
      <c r="B10" s="1244" t="s">
        <v>62</v>
      </c>
      <c r="C10" s="958" t="s">
        <v>63</v>
      </c>
      <c r="D10" s="1245">
        <v>4500172515</v>
      </c>
      <c r="E10" s="958" t="s">
        <v>97</v>
      </c>
      <c r="F10" s="1245" t="s">
        <v>98</v>
      </c>
      <c r="G10" s="1246" t="s">
        <v>44</v>
      </c>
      <c r="H10" s="905" t="s">
        <v>45</v>
      </c>
      <c r="I10" s="905">
        <v>96</v>
      </c>
      <c r="J10" s="905">
        <v>0</v>
      </c>
      <c r="K10" s="905">
        <v>4</v>
      </c>
      <c r="L10" s="1114">
        <f t="shared" si="0"/>
        <v>24</v>
      </c>
      <c r="M10" s="928">
        <v>45880</v>
      </c>
      <c r="N10" s="928">
        <v>45876</v>
      </c>
      <c r="O10" s="930"/>
      <c r="P10" s="1115" t="s">
        <v>46</v>
      </c>
      <c r="Q10" s="908"/>
      <c r="R10" s="942">
        <v>45840</v>
      </c>
      <c r="S10" s="1272" t="s">
        <v>58</v>
      </c>
      <c r="T10" s="942">
        <v>45861</v>
      </c>
      <c r="U10" s="1273" t="s">
        <v>99</v>
      </c>
      <c r="V10" s="928" t="s">
        <v>67</v>
      </c>
      <c r="W10" s="1125">
        <v>7.4847</v>
      </c>
      <c r="X10" s="1126">
        <f t="shared" si="5"/>
        <v>718.5312</v>
      </c>
      <c r="Y10" s="908" t="s">
        <v>100</v>
      </c>
      <c r="Z10" s="1246" t="s">
        <v>44</v>
      </c>
      <c r="AA10" s="908" t="s">
        <v>53</v>
      </c>
      <c r="AB10" s="1266" t="s">
        <v>54</v>
      </c>
      <c r="AC10" s="958"/>
      <c r="AD10" s="1283">
        <v>96</v>
      </c>
      <c r="AE10" s="1255">
        <f t="shared" si="1"/>
        <v>0</v>
      </c>
      <c r="AF10" s="959"/>
      <c r="AG10" s="958" t="s">
        <v>55</v>
      </c>
      <c r="AH10" s="908"/>
      <c r="AI10" s="969">
        <f t="shared" si="2"/>
        <v>96</v>
      </c>
      <c r="AK10" s="804">
        <f t="shared" si="3"/>
        <v>96</v>
      </c>
      <c r="AL10" s="969">
        <f t="shared" si="4"/>
        <v>96</v>
      </c>
    </row>
    <row r="11" s="802" customFormat="1" ht="31" customHeight="1" spans="1:34">
      <c r="A11" s="997"/>
      <c r="B11" s="856"/>
      <c r="C11" s="830"/>
      <c r="E11" s="830"/>
      <c r="F11" s="830"/>
      <c r="G11" s="1057"/>
      <c r="H11" s="830"/>
      <c r="I11" s="830"/>
      <c r="J11" s="830"/>
      <c r="K11" s="830"/>
      <c r="L11" s="842"/>
      <c r="M11" s="843"/>
      <c r="N11" s="830"/>
      <c r="O11" s="830"/>
      <c r="P11" s="830"/>
      <c r="Q11" s="933"/>
      <c r="R11" s="933"/>
      <c r="S11" s="951"/>
      <c r="T11" s="951"/>
      <c r="U11" s="1123"/>
      <c r="V11" s="843"/>
      <c r="W11" s="1073"/>
      <c r="X11" s="859"/>
      <c r="Y11" s="830"/>
      <c r="Z11" s="830"/>
      <c r="AA11" s="830"/>
      <c r="AB11" s="830"/>
      <c r="AC11" s="830"/>
      <c r="AD11" s="933"/>
      <c r="AE11" s="933"/>
      <c r="AF11" s="830"/>
      <c r="AG11" s="994"/>
      <c r="AH11" s="830"/>
    </row>
    <row r="12" s="802" customFormat="1" ht="31" customHeight="1" spans="1:34">
      <c r="A12" s="997"/>
      <c r="B12" s="856"/>
      <c r="C12" s="830"/>
      <c r="E12" s="830"/>
      <c r="F12" s="830"/>
      <c r="G12" s="843"/>
      <c r="H12" s="830"/>
      <c r="I12" s="830"/>
      <c r="J12" s="830"/>
      <c r="K12" s="830"/>
      <c r="L12" s="842"/>
      <c r="M12" s="843"/>
      <c r="N12" s="843"/>
      <c r="O12" s="844"/>
      <c r="P12" s="844"/>
      <c r="Q12" s="830"/>
      <c r="R12" s="951"/>
      <c r="S12" s="951"/>
      <c r="T12" s="951"/>
      <c r="V12" s="843"/>
      <c r="W12" s="1073"/>
      <c r="X12" s="859"/>
      <c r="Y12" s="830"/>
      <c r="Z12" s="830"/>
      <c r="AF12" s="830"/>
      <c r="AG12" s="994"/>
      <c r="AH12" s="830"/>
    </row>
    <row r="13" s="802" customFormat="1" ht="31" customHeight="1" spans="1:34">
      <c r="A13" s="997"/>
      <c r="B13" s="856"/>
      <c r="C13" s="830"/>
      <c r="E13" s="830"/>
      <c r="F13" s="830"/>
      <c r="G13" s="1057"/>
      <c r="H13" s="830"/>
      <c r="I13" s="830"/>
      <c r="J13" s="830"/>
      <c r="K13" s="830"/>
      <c r="L13" s="842"/>
      <c r="M13" s="843"/>
      <c r="N13" s="843"/>
      <c r="O13" s="844"/>
      <c r="P13" s="844"/>
      <c r="Q13" s="830"/>
      <c r="R13" s="951"/>
      <c r="S13" s="951"/>
      <c r="T13" s="951"/>
      <c r="V13" s="843"/>
      <c r="W13" s="1073"/>
      <c r="X13" s="859"/>
      <c r="Y13" s="830"/>
      <c r="Z13" s="830"/>
      <c r="AA13" s="830"/>
      <c r="AB13" s="830"/>
      <c r="AC13" s="830"/>
      <c r="AD13" s="933"/>
      <c r="AE13" s="933"/>
      <c r="AF13" s="830"/>
      <c r="AG13" s="994"/>
      <c r="AH13" s="830"/>
    </row>
    <row r="14" s="802" customFormat="1" ht="31" customHeight="1" spans="1:34">
      <c r="A14" s="997"/>
      <c r="B14" s="856"/>
      <c r="C14" s="830"/>
      <c r="E14" s="830"/>
      <c r="F14" s="830"/>
      <c r="G14" s="1057"/>
      <c r="H14" s="830"/>
      <c r="I14" s="830"/>
      <c r="J14" s="830"/>
      <c r="K14" s="830"/>
      <c r="L14" s="842"/>
      <c r="M14" s="843"/>
      <c r="N14" s="843"/>
      <c r="O14" s="844"/>
      <c r="P14" s="844"/>
      <c r="Q14" s="830"/>
      <c r="R14" s="951"/>
      <c r="S14" s="951"/>
      <c r="T14" s="951"/>
      <c r="V14" s="843"/>
      <c r="W14" s="1073"/>
      <c r="X14" s="859"/>
      <c r="Y14" s="830"/>
      <c r="Z14" s="830"/>
      <c r="AA14" s="830"/>
      <c r="AB14" s="830"/>
      <c r="AC14" s="830"/>
      <c r="AD14" s="933"/>
      <c r="AE14" s="933"/>
      <c r="AF14" s="830"/>
      <c r="AG14" s="994"/>
      <c r="AH14" s="830"/>
    </row>
    <row r="15" s="802" customFormat="1" ht="31" customHeight="1" spans="1:34">
      <c r="A15" s="997"/>
      <c r="B15" s="856"/>
      <c r="C15" s="830"/>
      <c r="E15" s="830"/>
      <c r="F15" s="830"/>
      <c r="G15" s="843"/>
      <c r="H15" s="830"/>
      <c r="I15" s="830"/>
      <c r="J15" s="830"/>
      <c r="K15" s="830"/>
      <c r="L15" s="842"/>
      <c r="M15" s="843"/>
      <c r="N15" s="843"/>
      <c r="O15" s="844"/>
      <c r="P15" s="844"/>
      <c r="Q15" s="830"/>
      <c r="R15" s="951"/>
      <c r="S15" s="951"/>
      <c r="T15" s="951"/>
      <c r="V15" s="843"/>
      <c r="W15" s="1073"/>
      <c r="X15" s="859"/>
      <c r="Y15" s="830"/>
      <c r="Z15" s="830"/>
      <c r="AA15" s="830"/>
      <c r="AB15" s="830"/>
      <c r="AC15" s="830"/>
      <c r="AD15" s="933"/>
      <c r="AE15" s="933"/>
      <c r="AF15" s="830"/>
      <c r="AG15" s="994"/>
      <c r="AH15" s="830"/>
    </row>
    <row r="16" s="802" customFormat="1" ht="31" customHeight="1" spans="1:34">
      <c r="A16" s="997"/>
      <c r="B16" s="856"/>
      <c r="C16" s="830"/>
      <c r="E16" s="830"/>
      <c r="F16" s="830"/>
      <c r="G16" s="1057"/>
      <c r="H16" s="830"/>
      <c r="I16" s="830"/>
      <c r="J16" s="830"/>
      <c r="K16" s="830"/>
      <c r="L16" s="842"/>
      <c r="M16" s="843"/>
      <c r="N16" s="843"/>
      <c r="O16" s="844"/>
      <c r="P16" s="844"/>
      <c r="Q16" s="830"/>
      <c r="R16" s="951"/>
      <c r="S16" s="951"/>
      <c r="T16" s="951"/>
      <c r="V16" s="843"/>
      <c r="W16" s="1073"/>
      <c r="X16" s="859"/>
      <c r="Y16" s="830"/>
      <c r="Z16" s="830"/>
      <c r="AA16" s="830"/>
      <c r="AB16" s="830"/>
      <c r="AC16" s="830"/>
      <c r="AD16" s="933"/>
      <c r="AE16" s="933"/>
      <c r="AF16" s="830"/>
      <c r="AG16" s="994"/>
      <c r="AH16" s="830"/>
    </row>
    <row r="17" s="802" customFormat="1" ht="31" customHeight="1" spans="1:34">
      <c r="A17" s="997"/>
      <c r="B17" s="856"/>
      <c r="C17" s="830"/>
      <c r="E17" s="830"/>
      <c r="F17" s="830"/>
      <c r="G17" s="1057"/>
      <c r="H17" s="830"/>
      <c r="I17" s="830"/>
      <c r="J17" s="830"/>
      <c r="K17" s="830"/>
      <c r="L17" s="842"/>
      <c r="M17" s="843"/>
      <c r="N17" s="843"/>
      <c r="O17" s="844"/>
      <c r="P17" s="844"/>
      <c r="Q17" s="830"/>
      <c r="R17" s="855"/>
      <c r="S17" s="951"/>
      <c r="T17" s="855"/>
      <c r="V17" s="843"/>
      <c r="W17" s="1074"/>
      <c r="X17" s="859"/>
      <c r="Y17" s="830"/>
      <c r="Z17" s="830"/>
      <c r="AA17" s="830"/>
      <c r="AB17" s="830"/>
      <c r="AC17" s="830"/>
      <c r="AD17" s="933"/>
      <c r="AE17" s="933"/>
      <c r="AF17" s="830"/>
      <c r="AG17" s="994"/>
      <c r="AH17" s="830"/>
    </row>
    <row r="18" s="802" customFormat="1" ht="31" customHeight="1" spans="1:34">
      <c r="A18" s="997"/>
      <c r="B18" s="856"/>
      <c r="C18" s="830"/>
      <c r="E18" s="830"/>
      <c r="F18" s="830"/>
      <c r="G18" s="843"/>
      <c r="H18" s="830"/>
      <c r="I18" s="830"/>
      <c r="J18" s="830"/>
      <c r="K18" s="830"/>
      <c r="L18" s="842"/>
      <c r="M18" s="843"/>
      <c r="N18" s="843"/>
      <c r="O18" s="844"/>
      <c r="P18" s="844"/>
      <c r="Q18" s="830"/>
      <c r="R18" s="951"/>
      <c r="S18" s="855"/>
      <c r="T18" s="951"/>
      <c r="V18" s="843"/>
      <c r="W18" s="1073"/>
      <c r="X18" s="859"/>
      <c r="Y18" s="830"/>
      <c r="Z18" s="830"/>
      <c r="AA18" s="830"/>
      <c r="AB18" s="830"/>
      <c r="AC18" s="830"/>
      <c r="AD18" s="933"/>
      <c r="AE18" s="933"/>
      <c r="AF18" s="830"/>
      <c r="AG18" s="994"/>
      <c r="AH18" s="830"/>
    </row>
    <row r="20" spans="3:62">
      <c r="C20" s="1058"/>
      <c r="G20" s="1059" t="s">
        <v>101</v>
      </c>
      <c r="I20" s="1059">
        <f>SUM(I2:I19)</f>
        <v>1744</v>
      </c>
      <c r="J20" s="1058"/>
      <c r="K20" s="1058"/>
      <c r="L20" s="1058"/>
      <c r="M20" s="1058"/>
      <c r="N20" s="1058"/>
      <c r="O20" s="1058"/>
      <c r="P20" s="1058"/>
      <c r="Q20" s="1058"/>
      <c r="R20" s="1058"/>
      <c r="S20" s="1058"/>
      <c r="T20" s="1058"/>
      <c r="W20" s="1075"/>
      <c r="X20" s="1076"/>
      <c r="Y20" s="817"/>
      <c r="Z20" s="817"/>
      <c r="AA20" s="817"/>
      <c r="AB20" s="817"/>
      <c r="AC20" s="1058"/>
      <c r="AE20" s="818"/>
      <c r="AF20" s="1080"/>
      <c r="AG20" s="1289"/>
      <c r="AH20" s="1080"/>
      <c r="AI20" s="1059">
        <f t="shared" ref="AI20:AX20" si="6">SUM(AI2:AI19)</f>
        <v>1744</v>
      </c>
      <c r="AJ20" s="1059">
        <f t="shared" si="6"/>
        <v>0</v>
      </c>
      <c r="AK20" s="1059">
        <f t="shared" si="6"/>
        <v>1744</v>
      </c>
      <c r="AL20" s="1059">
        <f t="shared" si="6"/>
        <v>1744</v>
      </c>
      <c r="AM20" s="1059">
        <f t="shared" si="6"/>
        <v>0</v>
      </c>
      <c r="AN20" s="1059">
        <f t="shared" si="6"/>
        <v>0</v>
      </c>
      <c r="AO20" s="1059">
        <f t="shared" si="6"/>
        <v>0</v>
      </c>
      <c r="AP20" s="1059">
        <f t="shared" si="6"/>
        <v>0</v>
      </c>
      <c r="AQ20" s="1059">
        <f t="shared" si="6"/>
        <v>0</v>
      </c>
      <c r="AR20" s="1059">
        <f t="shared" si="6"/>
        <v>0</v>
      </c>
      <c r="AS20" s="1059">
        <f t="shared" si="6"/>
        <v>0</v>
      </c>
      <c r="AT20" s="1059">
        <f t="shared" si="6"/>
        <v>0</v>
      </c>
      <c r="AU20" s="1059">
        <f t="shared" si="6"/>
        <v>0</v>
      </c>
      <c r="AV20" s="1059">
        <f t="shared" si="6"/>
        <v>0</v>
      </c>
      <c r="AW20" s="1059">
        <f t="shared" si="6"/>
        <v>0</v>
      </c>
      <c r="AX20" s="1059">
        <f t="shared" si="6"/>
        <v>0</v>
      </c>
      <c r="AY20" s="1059"/>
      <c r="AZ20" s="1292">
        <f t="shared" ref="AZ20:BJ20" si="7">SUM(AZ2:AZ19)</f>
        <v>0</v>
      </c>
      <c r="BA20" s="1059">
        <f t="shared" si="7"/>
        <v>0</v>
      </c>
      <c r="BB20" s="1059">
        <f t="shared" si="7"/>
        <v>0</v>
      </c>
      <c r="BC20" s="1059">
        <f t="shared" si="7"/>
        <v>0</v>
      </c>
      <c r="BD20" s="1059">
        <f t="shared" si="7"/>
        <v>0</v>
      </c>
      <c r="BE20" s="1059">
        <f t="shared" si="7"/>
        <v>0</v>
      </c>
      <c r="BF20" s="1059">
        <f t="shared" si="7"/>
        <v>0</v>
      </c>
      <c r="BG20" s="1059">
        <f t="shared" si="7"/>
        <v>0</v>
      </c>
      <c r="BH20" s="1059">
        <f t="shared" si="7"/>
        <v>0</v>
      </c>
      <c r="BI20" s="1059">
        <f t="shared" si="7"/>
        <v>0</v>
      </c>
      <c r="BJ20" s="1059">
        <f t="shared" si="7"/>
        <v>0</v>
      </c>
    </row>
  </sheetData>
  <sheetProtection selectLockedCells="1" autoFilter="0"/>
  <autoFilter xmlns:etc="http://www.wps.cn/officeDocument/2017/etCustomData" ref="A1:BJ10" etc:filterBottomFollowUsedRange="0">
    <extLst/>
  </autoFilter>
  <conditionalFormatting sqref="R1:T1">
    <cfRule type="cellIs" dxfId="0" priority="1155" operator="equal">
      <formula>"欠"</formula>
    </cfRule>
  </conditionalFormatting>
  <conditionalFormatting sqref="AA1:AB1">
    <cfRule type="cellIs" dxfId="0" priority="1122" operator="equal">
      <formula>"未完成"</formula>
    </cfRule>
  </conditionalFormatting>
  <conditionalFormatting sqref="AD1:AH1">
    <cfRule type="cellIs" dxfId="1" priority="1153" operator="equal">
      <formula>"未完成"</formula>
    </cfRule>
    <cfRule type="cellIs" dxfId="0" priority="1154" operator="equal">
      <formula>"未完成"</formula>
    </cfRule>
  </conditionalFormatting>
  <conditionalFormatting sqref="R2">
    <cfRule type="cellIs" dxfId="0" priority="96" operator="equal">
      <formula>"欠"</formula>
    </cfRule>
  </conditionalFormatting>
  <conditionalFormatting sqref="S2">
    <cfRule type="cellIs" dxfId="0" priority="97" operator="equal">
      <formula>"欠"</formula>
    </cfRule>
  </conditionalFormatting>
  <conditionalFormatting sqref="T2">
    <cfRule type="cellIs" dxfId="0" priority="95" operator="equal">
      <formula>"欠"</formula>
    </cfRule>
  </conditionalFormatting>
  <conditionalFormatting sqref="AD2">
    <cfRule type="cellIs" dxfId="1" priority="93" operator="equal">
      <formula>"未完成"</formula>
    </cfRule>
    <cfRule type="cellIs" dxfId="0" priority="94" operator="equal">
      <formula>"未完成"</formula>
    </cfRule>
  </conditionalFormatting>
  <conditionalFormatting sqref="AE2">
    <cfRule type="cellIs" dxfId="1" priority="134" operator="equal">
      <formula>"未完成"</formula>
    </cfRule>
    <cfRule type="cellIs" dxfId="0" priority="135" operator="equal">
      <formula>"未完成"</formula>
    </cfRule>
  </conditionalFormatting>
  <conditionalFormatting sqref="R3">
    <cfRule type="cellIs" dxfId="0" priority="50" operator="equal">
      <formula>"欠"</formula>
    </cfRule>
  </conditionalFormatting>
  <conditionalFormatting sqref="S3">
    <cfRule type="cellIs" dxfId="0" priority="53" operator="equal">
      <formula>"欠"</formula>
    </cfRule>
  </conditionalFormatting>
  <conditionalFormatting sqref="T3">
    <cfRule type="cellIs" dxfId="0" priority="47" operator="equal">
      <formula>"欠"</formula>
    </cfRule>
  </conditionalFormatting>
  <conditionalFormatting sqref="AD3">
    <cfRule type="cellIs" dxfId="1" priority="41" operator="equal">
      <formula>"未完成"</formula>
    </cfRule>
    <cfRule type="cellIs" dxfId="0" priority="44" operator="equal">
      <formula>"未完成"</formula>
    </cfRule>
  </conditionalFormatting>
  <conditionalFormatting sqref="AE3">
    <cfRule type="cellIs" dxfId="1" priority="62" operator="equal">
      <formula>"未完成"</formula>
    </cfRule>
    <cfRule type="cellIs" dxfId="0" priority="65" operator="equal">
      <formula>"未完成"</formula>
    </cfRule>
  </conditionalFormatting>
  <conditionalFormatting sqref="R4">
    <cfRule type="cellIs" dxfId="0" priority="49" operator="equal">
      <formula>"欠"</formula>
    </cfRule>
  </conditionalFormatting>
  <conditionalFormatting sqref="S4">
    <cfRule type="cellIs" dxfId="0" priority="52" operator="equal">
      <formula>"欠"</formula>
    </cfRule>
  </conditionalFormatting>
  <conditionalFormatting sqref="T4">
    <cfRule type="cellIs" dxfId="0" priority="46" operator="equal">
      <formula>"欠"</formula>
    </cfRule>
  </conditionalFormatting>
  <conditionalFormatting sqref="AD4">
    <cfRule type="cellIs" dxfId="1" priority="40" operator="equal">
      <formula>"未完成"</formula>
    </cfRule>
    <cfRule type="cellIs" dxfId="0" priority="43" operator="equal">
      <formula>"未完成"</formula>
    </cfRule>
  </conditionalFormatting>
  <conditionalFormatting sqref="AE4">
    <cfRule type="cellIs" dxfId="1" priority="61" operator="equal">
      <formula>"未完成"</formula>
    </cfRule>
    <cfRule type="cellIs" dxfId="0" priority="64" operator="equal">
      <formula>"未完成"</formula>
    </cfRule>
  </conditionalFormatting>
  <conditionalFormatting sqref="AE5">
    <cfRule type="cellIs" dxfId="1" priority="60" operator="equal">
      <formula>"未完成"</formula>
    </cfRule>
    <cfRule type="cellIs" dxfId="0" priority="63" operator="equal">
      <formula>"未完成"</formula>
    </cfRule>
  </conditionalFormatting>
  <conditionalFormatting sqref="R6">
    <cfRule type="cellIs" dxfId="0" priority="17" operator="equal">
      <formula>"欠"</formula>
    </cfRule>
  </conditionalFormatting>
  <conditionalFormatting sqref="S6">
    <cfRule type="cellIs" dxfId="0" priority="19" operator="equal">
      <formula>"欠"</formula>
    </cfRule>
  </conditionalFormatting>
  <conditionalFormatting sqref="T6">
    <cfRule type="cellIs" dxfId="0" priority="15" operator="equal">
      <formula>"欠"</formula>
    </cfRule>
  </conditionalFormatting>
  <conditionalFormatting sqref="AD6">
    <cfRule type="cellIs" dxfId="0" priority="13" operator="equal">
      <formula>"未完成"</formula>
    </cfRule>
    <cfRule type="cellIs" dxfId="1" priority="11" operator="equal">
      <formula>"未完成"</formula>
    </cfRule>
  </conditionalFormatting>
  <conditionalFormatting sqref="AE6">
    <cfRule type="cellIs" dxfId="0" priority="27" operator="equal">
      <formula>"未完成"</formula>
    </cfRule>
    <cfRule type="cellIs" dxfId="1" priority="25" operator="equal">
      <formula>"未完成"</formula>
    </cfRule>
  </conditionalFormatting>
  <conditionalFormatting sqref="R7">
    <cfRule type="cellIs" dxfId="0" priority="16" operator="equal">
      <formula>"欠"</formula>
    </cfRule>
  </conditionalFormatting>
  <conditionalFormatting sqref="S7">
    <cfRule type="cellIs" dxfId="0" priority="18" operator="equal">
      <formula>"欠"</formula>
    </cfRule>
  </conditionalFormatting>
  <conditionalFormatting sqref="T7">
    <cfRule type="cellIs" dxfId="0" priority="14" operator="equal">
      <formula>"欠"</formula>
    </cfRule>
  </conditionalFormatting>
  <conditionalFormatting sqref="AD7">
    <cfRule type="cellIs" dxfId="0" priority="12" operator="equal">
      <formula>"未完成"</formula>
    </cfRule>
    <cfRule type="cellIs" dxfId="1" priority="10" operator="equal">
      <formula>"未完成"</formula>
    </cfRule>
  </conditionalFormatting>
  <conditionalFormatting sqref="AE7">
    <cfRule type="cellIs" dxfId="0" priority="26" operator="equal">
      <formula>"未完成"</formula>
    </cfRule>
    <cfRule type="cellIs" dxfId="1" priority="24" operator="equal">
      <formula>"未完成"</formula>
    </cfRule>
  </conditionalFormatting>
  <conditionalFormatting sqref="R8">
    <cfRule type="cellIs" dxfId="0" priority="4" operator="equal">
      <formula>"欠"</formula>
    </cfRule>
  </conditionalFormatting>
  <conditionalFormatting sqref="S8">
    <cfRule type="cellIs" dxfId="0" priority="5" operator="equal">
      <formula>"欠"</formula>
    </cfRule>
  </conditionalFormatting>
  <conditionalFormatting sqref="T8">
    <cfRule type="cellIs" dxfId="0" priority="3" operator="equal">
      <formula>"欠"</formula>
    </cfRule>
  </conditionalFormatting>
  <conditionalFormatting sqref="AD8">
    <cfRule type="cellIs" dxfId="0" priority="2" operator="equal">
      <formula>"未完成"</formula>
    </cfRule>
    <cfRule type="cellIs" dxfId="1" priority="1" operator="equal">
      <formula>"未完成"</formula>
    </cfRule>
  </conditionalFormatting>
  <conditionalFormatting sqref="P11">
    <cfRule type="cellIs" dxfId="0" priority="1131" operator="equal">
      <formula>"未完成"</formula>
    </cfRule>
  </conditionalFormatting>
  <conditionalFormatting sqref="T11">
    <cfRule type="cellIs" dxfId="0" priority="1145" operator="equal">
      <formula>"欠"</formula>
    </cfRule>
  </conditionalFormatting>
  <conditionalFormatting sqref="AC11">
    <cfRule type="cellIs" dxfId="0" priority="1132" operator="equal">
      <formula>"未完成"</formula>
    </cfRule>
  </conditionalFormatting>
  <conditionalFormatting sqref="AC13">
    <cfRule type="cellIs" dxfId="0" priority="1130" operator="equal">
      <formula>"未完成"</formula>
    </cfRule>
  </conditionalFormatting>
  <conditionalFormatting sqref="R14:T14">
    <cfRule type="cellIs" dxfId="0" priority="1138" operator="equal">
      <formula>"欠"</formula>
    </cfRule>
  </conditionalFormatting>
  <conditionalFormatting sqref="AC14">
    <cfRule type="cellIs" dxfId="0" priority="1124" operator="equal">
      <formula>"未完成"</formula>
    </cfRule>
  </conditionalFormatting>
  <conditionalFormatting sqref="AF14:AH14">
    <cfRule type="cellIs" dxfId="1" priority="1140" operator="equal">
      <formula>"未完成"</formula>
    </cfRule>
    <cfRule type="cellIs" dxfId="0" priority="1141" operator="equal">
      <formula>"未完成"</formula>
    </cfRule>
  </conditionalFormatting>
  <conditionalFormatting sqref="AC15">
    <cfRule type="cellIs" dxfId="0" priority="1126" operator="equal">
      <formula>"未完成"</formula>
    </cfRule>
  </conditionalFormatting>
  <conditionalFormatting sqref="AC16">
    <cfRule type="cellIs" dxfId="0" priority="1125" operator="equal">
      <formula>"未完成"</formula>
    </cfRule>
  </conditionalFormatting>
  <conditionalFormatting sqref="S17">
    <cfRule type="cellIs" dxfId="0" priority="1116" operator="equal">
      <formula>"欠"</formula>
    </cfRule>
  </conditionalFormatting>
  <conditionalFormatting sqref="AC17">
    <cfRule type="cellIs" dxfId="0" priority="1123" operator="equal">
      <formula>"未完成"</formula>
    </cfRule>
  </conditionalFormatting>
  <conditionalFormatting sqref="S18">
    <cfRule type="cellIs" dxfId="0" priority="1115" operator="equal">
      <formula>"欠"</formula>
    </cfRule>
  </conditionalFormatting>
  <conditionalFormatting sqref="S11:S13">
    <cfRule type="cellIs" dxfId="0" priority="1118" operator="equal">
      <formula>"欠"</formula>
    </cfRule>
  </conditionalFormatting>
  <conditionalFormatting sqref="S15:S16">
    <cfRule type="cellIs" dxfId="0" priority="1117" operator="equal">
      <formula>"欠"</formula>
    </cfRule>
  </conditionalFormatting>
  <conditionalFormatting sqref="AE8:AE10">
    <cfRule type="cellIs" dxfId="0" priority="9" operator="equal">
      <formula>"未完成"</formula>
    </cfRule>
    <cfRule type="cellIs" dxfId="1" priority="8" operator="equal">
      <formula>"未完成"</formula>
    </cfRule>
  </conditionalFormatting>
  <conditionalFormatting sqref="AC1 AC18:AC21 AC26:AC1048576">
    <cfRule type="cellIs" dxfId="0" priority="1142" operator="equal">
      <formula>"未完成"</formula>
    </cfRule>
  </conditionalFormatting>
  <conditionalFormatting sqref="AH2 AF2">
    <cfRule type="cellIs" dxfId="1" priority="98" operator="equal">
      <formula>"未完成"</formula>
    </cfRule>
    <cfRule type="cellIs" dxfId="0" priority="99" operator="equal">
      <formula>"未完成"</formula>
    </cfRule>
  </conditionalFormatting>
  <conditionalFormatting sqref="AH3 AF3">
    <cfRule type="cellIs" dxfId="1" priority="56" operator="equal">
      <formula>"未完成"</formula>
    </cfRule>
    <cfRule type="cellIs" dxfId="0" priority="59" operator="equal">
      <formula>"未完成"</formula>
    </cfRule>
  </conditionalFormatting>
  <conditionalFormatting sqref="AH4 AF4">
    <cfRule type="cellIs" dxfId="1" priority="55" operator="equal">
      <formula>"未完成"</formula>
    </cfRule>
    <cfRule type="cellIs" dxfId="0" priority="58" operator="equal">
      <formula>"未完成"</formula>
    </cfRule>
  </conditionalFormatting>
  <conditionalFormatting sqref="R5 R9:R10">
    <cfRule type="cellIs" dxfId="0" priority="48" operator="equal">
      <formula>"欠"</formula>
    </cfRule>
  </conditionalFormatting>
  <conditionalFormatting sqref="S5 S9:S10">
    <cfRule type="cellIs" dxfId="0" priority="51" operator="equal">
      <formula>"欠"</formula>
    </cfRule>
  </conditionalFormatting>
  <conditionalFormatting sqref="T5 T9:T10">
    <cfRule type="cellIs" dxfId="0" priority="45" operator="equal">
      <formula>"欠"</formula>
    </cfRule>
  </conditionalFormatting>
  <conditionalFormatting sqref="AD5 AD9:AD10">
    <cfRule type="cellIs" dxfId="1" priority="37" operator="equal">
      <formula>"未完成"</formula>
    </cfRule>
    <cfRule type="cellIs" dxfId="0" priority="38" operator="equal">
      <formula>"未完成"</formula>
    </cfRule>
  </conditionalFormatting>
  <conditionalFormatting sqref="AH5 AH9:AH10 AF5 AF9:AF10">
    <cfRule type="cellIs" dxfId="1" priority="54" operator="equal">
      <formula>"未完成"</formula>
    </cfRule>
    <cfRule type="cellIs" dxfId="0" priority="57" operator="equal">
      <formula>"未完成"</formula>
    </cfRule>
  </conditionalFormatting>
  <conditionalFormatting sqref="AH6 AF6">
    <cfRule type="cellIs" dxfId="0" priority="23" operator="equal">
      <formula>"未完成"</formula>
    </cfRule>
    <cfRule type="cellIs" dxfId="1" priority="21" operator="equal">
      <formula>"未完成"</formula>
    </cfRule>
  </conditionalFormatting>
  <conditionalFormatting sqref="AH7 AF7">
    <cfRule type="cellIs" dxfId="0" priority="22" operator="equal">
      <formula>"未完成"</formula>
    </cfRule>
    <cfRule type="cellIs" dxfId="1" priority="20" operator="equal">
      <formula>"未完成"</formula>
    </cfRule>
  </conditionalFormatting>
  <conditionalFormatting sqref="AH8 AF8">
    <cfRule type="cellIs" dxfId="0" priority="7" operator="equal">
      <formula>"未完成"</formula>
    </cfRule>
    <cfRule type="cellIs" dxfId="1" priority="6" operator="equal">
      <formula>"未完成"</formula>
    </cfRule>
  </conditionalFormatting>
  <conditionalFormatting sqref="AD11 AD13:AD18 Q11">
    <cfRule type="cellIs" dxfId="1" priority="617" operator="equal">
      <formula>"未完成"</formula>
    </cfRule>
    <cfRule type="cellIs" dxfId="0" priority="618" operator="equal">
      <formula>"未完成"</formula>
    </cfRule>
  </conditionalFormatting>
  <conditionalFormatting sqref="AE11 AE13:AE18 R11">
    <cfRule type="cellIs" dxfId="1" priority="262" operator="equal">
      <formula>"未完成"</formula>
    </cfRule>
    <cfRule type="cellIs" dxfId="0" priority="267" operator="equal">
      <formula>"未完成"</formula>
    </cfRule>
  </conditionalFormatting>
  <conditionalFormatting sqref="AG11:AH13 AG15:AH18 AF17:AF18 AF12 AF15">
    <cfRule type="cellIs" dxfId="1" priority="1150" operator="equal">
      <formula>"未完成"</formula>
    </cfRule>
    <cfRule type="cellIs" dxfId="0" priority="1151" operator="equal">
      <formula>"未完成"</formula>
    </cfRule>
  </conditionalFormatting>
  <conditionalFormatting sqref="T12:T13 T15:T17 R12:R13 R15:R17">
    <cfRule type="cellIs" dxfId="0" priority="1146" operator="equal">
      <formula>"欠"</formula>
    </cfRule>
  </conditionalFormatting>
  <conditionalFormatting sqref="R18 T18">
    <cfRule type="cellIs" dxfId="0" priority="1149" operator="equal">
      <formula>"欠"</formula>
    </cfRule>
  </conditionalFormatting>
  <dataValidations count="1">
    <dataValidation type="list" allowBlank="1" showInputMessage="1" showErrorMessage="1" sqref="P11 AC2:AC11 AC13:AC21 AC26:AC1048576">
      <formula1>"未完成,已完成,OK"</formula1>
    </dataValidation>
  </dataValidations>
  <pageMargins left="0.0777777777777778" right="0.118055555555556" top="0.196527777777778" bottom="0.196527777777778" header="0.15625" footer="0.0777777777777778"/>
  <pageSetup paperSize="9" scale="49" orientation="landscape" horizontalDpi="600"/>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DA285"/>
  <sheetViews>
    <sheetView tabSelected="1" zoomScale="85" zoomScaleNormal="85" workbookViewId="0">
      <pane xSplit="14" ySplit="1" topLeftCell="R234" activePane="bottomRight" state="frozen"/>
      <selection/>
      <selection pane="topRight"/>
      <selection pane="bottomLeft"/>
      <selection pane="bottomRight" activeCell="F259" sqref="F259"/>
    </sheetView>
  </sheetViews>
  <sheetFormatPr defaultColWidth="9" defaultRowHeight="13.5"/>
  <cols>
    <col min="1" max="1" width="14.9166666666667" style="811" customWidth="1"/>
    <col min="2" max="2" width="14.1083333333333" style="810" customWidth="1"/>
    <col min="3" max="3" width="11.0583333333333" style="810" customWidth="1"/>
    <col min="4" max="4" width="14.7583333333333" style="810" customWidth="1"/>
    <col min="5" max="5" width="15.175" style="812" customWidth="1"/>
    <col min="6" max="6" width="16.8916666666667" style="810" customWidth="1"/>
    <col min="7" max="7" width="14.6833333333333" style="810" customWidth="1"/>
    <col min="8" max="8" width="19.4583333333333" style="810" customWidth="1"/>
    <col min="9" max="9" width="13.5583333333333" style="810" customWidth="1"/>
    <col min="10" max="10" width="10.1416666666667" style="810" customWidth="1"/>
    <col min="11" max="11" width="9.2" style="810" customWidth="1"/>
    <col min="12" max="12" width="8.75833333333333" style="810" customWidth="1"/>
    <col min="13" max="14" width="18.1083333333333" style="810" customWidth="1"/>
    <col min="15" max="15" width="14.6083333333333" style="810" customWidth="1"/>
    <col min="16" max="16" width="10.7166666666667" style="810" customWidth="1"/>
    <col min="17" max="17" width="14.6083333333333" style="810" customWidth="1"/>
    <col min="18" max="18" width="13.1833333333333" style="810" customWidth="1"/>
    <col min="19" max="19" width="9.55833333333333" style="810" customWidth="1"/>
    <col min="20" max="20" width="11.5916666666667" style="810" customWidth="1"/>
    <col min="21" max="21" width="37.1166666666667" style="810" customWidth="1"/>
    <col min="22" max="22" width="12.2583333333333" style="810" customWidth="1"/>
    <col min="23" max="23" width="12.675" style="813" customWidth="1"/>
    <col min="24" max="24" width="10.525" style="814" customWidth="1"/>
    <col min="25" max="25" width="16.425" style="815" customWidth="1"/>
    <col min="26" max="26" width="17.5916666666667" style="816" customWidth="1"/>
    <col min="27" max="27" width="9.99166666666667" style="817" customWidth="1"/>
    <col min="28" max="28" width="12.225" style="815" customWidth="1"/>
    <col min="29" max="29" width="9.28333333333333" style="810" customWidth="1"/>
    <col min="30" max="30" width="10.35" style="818" customWidth="1"/>
    <col min="31" max="31" width="8.96666666666667" style="818" customWidth="1"/>
    <col min="32" max="32" width="10.35" style="819" customWidth="1"/>
    <col min="33" max="33" width="7.85833333333333" style="1099" customWidth="1"/>
    <col min="34" max="34" width="6.6" style="819" customWidth="1"/>
    <col min="35" max="35" width="9.86666666666667" style="819" customWidth="1"/>
    <col min="36" max="41" width="9" style="810" customWidth="1"/>
    <col min="42" max="42" width="14.4666666666667" style="810" customWidth="1"/>
    <col min="43" max="43" width="9" style="810"/>
    <col min="44" max="45" width="11.5916666666667" style="810" customWidth="1"/>
    <col min="46" max="52" width="10.9416666666667" style="810" customWidth="1"/>
    <col min="53" max="55" width="9" style="810" customWidth="1"/>
    <col min="56" max="58" width="9" style="810"/>
    <col min="59" max="63" width="11.8916666666667" style="810"/>
    <col min="64" max="64" width="11.8916666666667" style="821"/>
    <col min="65" max="65" width="14.3333333333333" style="821"/>
    <col min="66" max="66" width="11.2666666666667" style="821" customWidth="1"/>
    <col min="67" max="69" width="10.65" style="821" customWidth="1"/>
    <col min="70" max="71" width="10.65" style="810" customWidth="1"/>
    <col min="72" max="73" width="13.5416666666667" style="810"/>
    <col min="74" max="74" width="10.025" style="821"/>
    <col min="75" max="75" width="9.38333333333333" style="821"/>
    <col min="76" max="78" width="10.65" style="821" customWidth="1"/>
    <col min="79" max="79" width="9" style="821"/>
    <col min="80" max="16384" width="9" style="810"/>
  </cols>
  <sheetData>
    <row r="1" s="801" customFormat="1" ht="63" customHeight="1" spans="1:79">
      <c r="A1" s="822" t="s">
        <v>0</v>
      </c>
      <c r="B1" s="823" t="s">
        <v>1</v>
      </c>
      <c r="C1" s="823" t="s">
        <v>2</v>
      </c>
      <c r="D1" s="823" t="s">
        <v>3</v>
      </c>
      <c r="E1" s="824" t="s">
        <v>4</v>
      </c>
      <c r="F1" s="824" t="s">
        <v>5</v>
      </c>
      <c r="G1" s="823" t="s">
        <v>6</v>
      </c>
      <c r="H1" s="823" t="s">
        <v>7</v>
      </c>
      <c r="I1" s="823" t="s">
        <v>8</v>
      </c>
      <c r="J1" s="823" t="s">
        <v>9</v>
      </c>
      <c r="K1" s="823" t="s">
        <v>10</v>
      </c>
      <c r="L1" s="823" t="s">
        <v>11</v>
      </c>
      <c r="M1" s="840" t="s">
        <v>12</v>
      </c>
      <c r="N1" s="840" t="s">
        <v>13</v>
      </c>
      <c r="O1" s="823" t="s">
        <v>14</v>
      </c>
      <c r="P1" s="841" t="s">
        <v>15</v>
      </c>
      <c r="Q1" s="823" t="s">
        <v>16</v>
      </c>
      <c r="R1" s="851" t="s">
        <v>17</v>
      </c>
      <c r="S1" s="851" t="s">
        <v>18</v>
      </c>
      <c r="T1" s="851" t="s">
        <v>19</v>
      </c>
      <c r="U1" s="852" t="s">
        <v>20</v>
      </c>
      <c r="V1" s="823" t="s">
        <v>21</v>
      </c>
      <c r="W1" s="853" t="s">
        <v>22</v>
      </c>
      <c r="X1" s="854" t="s">
        <v>23</v>
      </c>
      <c r="Y1" s="867" t="s">
        <v>24</v>
      </c>
      <c r="Z1" s="867" t="s">
        <v>25</v>
      </c>
      <c r="AA1" s="841" t="s">
        <v>26</v>
      </c>
      <c r="AB1" s="841" t="s">
        <v>27</v>
      </c>
      <c r="AC1" s="841" t="s">
        <v>28</v>
      </c>
      <c r="AD1" s="868" t="s">
        <v>29</v>
      </c>
      <c r="AE1" s="868" t="s">
        <v>30</v>
      </c>
      <c r="AF1" s="869" t="s">
        <v>31</v>
      </c>
      <c r="AG1" s="876" t="s">
        <v>32</v>
      </c>
      <c r="AH1" s="869" t="s">
        <v>33</v>
      </c>
      <c r="AI1" s="869" t="s">
        <v>102</v>
      </c>
      <c r="AJ1" s="877" t="s">
        <v>103</v>
      </c>
      <c r="AK1" s="878" t="s">
        <v>104</v>
      </c>
      <c r="AL1" s="879" t="s">
        <v>105</v>
      </c>
      <c r="AM1" s="877" t="s">
        <v>106</v>
      </c>
      <c r="AN1" s="879" t="s">
        <v>107</v>
      </c>
      <c r="AO1" s="877" t="s">
        <v>108</v>
      </c>
      <c r="AP1" s="877" t="s">
        <v>109</v>
      </c>
      <c r="AQ1" s="879" t="s">
        <v>110</v>
      </c>
      <c r="AR1" s="877" t="s">
        <v>111</v>
      </c>
      <c r="AS1" s="879" t="s">
        <v>112</v>
      </c>
      <c r="AT1" s="877" t="s">
        <v>113</v>
      </c>
      <c r="AU1" s="877" t="s">
        <v>114</v>
      </c>
      <c r="AV1" s="879" t="s">
        <v>115</v>
      </c>
      <c r="AW1" s="882" t="s">
        <v>116</v>
      </c>
      <c r="AX1" s="877" t="s">
        <v>117</v>
      </c>
      <c r="AY1" s="879" t="s">
        <v>118</v>
      </c>
      <c r="AZ1" s="882" t="s">
        <v>119</v>
      </c>
      <c r="BA1" s="879" t="s">
        <v>120</v>
      </c>
      <c r="BB1" s="877" t="s">
        <v>121</v>
      </c>
      <c r="BC1" s="879" t="s">
        <v>122</v>
      </c>
      <c r="BD1" s="883" t="s">
        <v>123</v>
      </c>
      <c r="BE1" s="879" t="s">
        <v>124</v>
      </c>
      <c r="BF1" s="879" t="s">
        <v>125</v>
      </c>
      <c r="BG1" s="879" t="s">
        <v>126</v>
      </c>
      <c r="BH1" s="884" t="s">
        <v>127</v>
      </c>
      <c r="BI1" s="877" t="s">
        <v>128</v>
      </c>
      <c r="BJ1" s="879" t="s">
        <v>129</v>
      </c>
      <c r="BK1" s="877"/>
      <c r="BL1" s="887" t="s">
        <v>130</v>
      </c>
      <c r="BM1" s="887" t="s">
        <v>131</v>
      </c>
      <c r="BN1" s="887" t="s">
        <v>132</v>
      </c>
      <c r="BO1" s="887">
        <v>820000</v>
      </c>
      <c r="BP1" s="887">
        <v>300000</v>
      </c>
      <c r="BQ1" s="887">
        <v>300000</v>
      </c>
      <c r="BR1" s="877">
        <v>200000</v>
      </c>
      <c r="BS1" s="877">
        <f>400000+500000</f>
        <v>900000</v>
      </c>
      <c r="BT1" s="884" t="s">
        <v>133</v>
      </c>
      <c r="BU1" s="884" t="s">
        <v>134</v>
      </c>
      <c r="BV1" s="890" t="s">
        <v>131</v>
      </c>
      <c r="BW1" s="887" t="s">
        <v>132</v>
      </c>
      <c r="BX1" s="887">
        <v>420000</v>
      </c>
      <c r="BY1" s="887">
        <v>440000</v>
      </c>
      <c r="BZ1" s="887">
        <v>440000</v>
      </c>
      <c r="CA1" s="893"/>
    </row>
    <row r="2" s="805" customFormat="1" ht="31" hidden="1" customHeight="1" spans="1:105">
      <c r="A2" s="1100">
        <v>45828</v>
      </c>
      <c r="B2" s="895"/>
      <c r="C2" s="1101"/>
      <c r="D2" s="895" t="s">
        <v>135</v>
      </c>
      <c r="E2" s="285"/>
      <c r="G2" s="1102" t="s">
        <v>136</v>
      </c>
      <c r="H2" s="911" t="s">
        <v>137</v>
      </c>
      <c r="I2" s="911">
        <v>530</v>
      </c>
      <c r="J2" s="911">
        <v>0</v>
      </c>
      <c r="K2" s="911">
        <v>24</v>
      </c>
      <c r="L2" s="1112">
        <f>I2/K2</f>
        <v>22.0833333333333</v>
      </c>
      <c r="M2" s="932">
        <v>45841</v>
      </c>
      <c r="N2" s="932">
        <f>M2-3</f>
        <v>45838</v>
      </c>
      <c r="O2" s="285"/>
      <c r="P2" s="1113"/>
      <c r="Q2" s="285"/>
      <c r="R2" s="1119" t="s">
        <v>58</v>
      </c>
      <c r="S2" s="1119" t="s">
        <v>58</v>
      </c>
      <c r="T2" s="1119" t="s">
        <v>58</v>
      </c>
      <c r="U2" s="946" t="s">
        <v>138</v>
      </c>
      <c r="V2" s="1120" t="s">
        <v>139</v>
      </c>
      <c r="W2" s="1121"/>
      <c r="X2" s="1122"/>
      <c r="Y2" s="285"/>
      <c r="Z2" s="285" t="s">
        <v>140</v>
      </c>
      <c r="AA2" s="285" t="s">
        <v>140</v>
      </c>
      <c r="AB2" s="911"/>
      <c r="AC2" s="285"/>
      <c r="AD2" s="933"/>
      <c r="AE2" s="933">
        <f>AD2-I2</f>
        <v>-530</v>
      </c>
      <c r="AF2" s="962"/>
      <c r="AG2" s="285"/>
      <c r="AH2" s="285"/>
      <c r="AI2" s="830">
        <f t="shared" ref="AI2:AI7" si="0">I2</f>
        <v>530</v>
      </c>
      <c r="AJ2" s="968"/>
      <c r="AK2" s="968"/>
      <c r="AL2" s="968"/>
      <c r="BC2" s="1101"/>
      <c r="BD2" s="1101"/>
      <c r="BE2" s="1101"/>
      <c r="BF2" s="1101"/>
      <c r="BG2" s="1101"/>
      <c r="BL2" s="291"/>
      <c r="BM2" s="291"/>
      <c r="BN2" s="291"/>
      <c r="BO2" s="291"/>
      <c r="BP2" s="291"/>
      <c r="BQ2" s="291"/>
      <c r="BT2" s="805">
        <f>AR2+AS2+AW2</f>
        <v>0</v>
      </c>
      <c r="BU2" s="805">
        <f>BD2+BE2+BG2</f>
        <v>0</v>
      </c>
      <c r="BV2" s="291">
        <f>AI2</f>
        <v>530</v>
      </c>
      <c r="BW2" s="291"/>
      <c r="BX2" s="291">
        <f>$BX$1-BV2</f>
        <v>419470</v>
      </c>
      <c r="BY2" s="291"/>
      <c r="BZ2" s="291"/>
      <c r="CA2" s="291"/>
      <c r="CF2" s="1142"/>
      <c r="CG2" s="1142"/>
      <c r="CH2" s="1142"/>
      <c r="CI2" s="1142"/>
      <c r="CJ2" s="1142"/>
      <c r="CK2" s="1142"/>
      <c r="CL2" s="1142"/>
      <c r="CM2" s="1142"/>
      <c r="CN2" s="1142"/>
      <c r="CO2" s="1142"/>
      <c r="CP2" s="1142"/>
      <c r="CQ2" s="1142"/>
      <c r="CR2" s="1142"/>
      <c r="CS2" s="1142"/>
      <c r="CT2" s="1142"/>
      <c r="CU2" s="1142"/>
      <c r="CV2" s="1142"/>
      <c r="CW2" s="1142"/>
      <c r="CX2" s="1142"/>
      <c r="CY2" s="1142"/>
      <c r="CZ2" s="1142"/>
      <c r="DA2" s="1142"/>
    </row>
    <row r="3" s="805" customFormat="1" ht="31" hidden="1" customHeight="1" spans="1:105">
      <c r="A3" s="1100">
        <v>45828</v>
      </c>
      <c r="B3" s="895"/>
      <c r="C3" s="1101"/>
      <c r="D3" s="895" t="s">
        <v>141</v>
      </c>
      <c r="E3" s="285"/>
      <c r="G3" s="1102" t="s">
        <v>142</v>
      </c>
      <c r="H3" s="911" t="s">
        <v>137</v>
      </c>
      <c r="I3" s="911">
        <v>504</v>
      </c>
      <c r="J3" s="911">
        <v>0</v>
      </c>
      <c r="K3" s="911">
        <v>24</v>
      </c>
      <c r="L3" s="1112">
        <f>I3/K3</f>
        <v>21</v>
      </c>
      <c r="M3" s="932">
        <v>45845</v>
      </c>
      <c r="N3" s="932">
        <v>45841</v>
      </c>
      <c r="O3" s="285"/>
      <c r="P3" s="1113"/>
      <c r="Q3" s="285"/>
      <c r="R3" s="1119" t="s">
        <v>58</v>
      </c>
      <c r="S3" s="1119" t="s">
        <v>58</v>
      </c>
      <c r="T3" s="1119" t="s">
        <v>58</v>
      </c>
      <c r="U3" s="946" t="s">
        <v>138</v>
      </c>
      <c r="V3" s="1120" t="s">
        <v>60</v>
      </c>
      <c r="W3" s="1121"/>
      <c r="X3" s="1122"/>
      <c r="Y3" s="285"/>
      <c r="Z3" s="285" t="s">
        <v>140</v>
      </c>
      <c r="AA3" s="285" t="s">
        <v>140</v>
      </c>
      <c r="AB3" s="911"/>
      <c r="AC3" s="285"/>
      <c r="AD3" s="933"/>
      <c r="AE3" s="933">
        <f>AD3-I3</f>
        <v>-504</v>
      </c>
      <c r="AF3" s="962"/>
      <c r="AG3" s="285"/>
      <c r="AH3" s="285"/>
      <c r="AI3" s="830">
        <f t="shared" si="0"/>
        <v>504</v>
      </c>
      <c r="AJ3" s="968">
        <f>I3</f>
        <v>504</v>
      </c>
      <c r="AK3" s="968"/>
      <c r="AL3" s="968"/>
      <c r="AM3" s="805">
        <f>I3</f>
        <v>504</v>
      </c>
      <c r="BC3" s="1101"/>
      <c r="BD3" s="1101"/>
      <c r="BE3" s="1101"/>
      <c r="BF3" s="1101"/>
      <c r="BG3" s="1101"/>
      <c r="BL3" s="291"/>
      <c r="BM3" s="291"/>
      <c r="BN3" s="291"/>
      <c r="BO3" s="291"/>
      <c r="BP3" s="291"/>
      <c r="BQ3" s="291"/>
      <c r="BT3" s="805">
        <f t="shared" ref="BT3:BT34" si="1">AR3+AS3+AW3</f>
        <v>0</v>
      </c>
      <c r="BU3" s="805">
        <f t="shared" ref="BU3:BU34" si="2">BD3+BE3+BG3</f>
        <v>0</v>
      </c>
      <c r="BV3" s="291">
        <f>AI3+BV2</f>
        <v>1034</v>
      </c>
      <c r="BW3" s="291"/>
      <c r="BX3" s="291">
        <f>$BX$1-BV3</f>
        <v>418966</v>
      </c>
      <c r="BY3" s="291"/>
      <c r="BZ3" s="291"/>
      <c r="CA3" s="291"/>
      <c r="CF3" s="1142"/>
      <c r="CG3" s="1142"/>
      <c r="CH3" s="1142"/>
      <c r="CI3" s="1142"/>
      <c r="CJ3" s="1142"/>
      <c r="CK3" s="1142"/>
      <c r="CL3" s="1142"/>
      <c r="CM3" s="1142"/>
      <c r="CN3" s="1142"/>
      <c r="CO3" s="1142"/>
      <c r="CP3" s="1142"/>
      <c r="CQ3" s="1142"/>
      <c r="CR3" s="1142"/>
      <c r="CS3" s="1142"/>
      <c r="CT3" s="1142"/>
      <c r="CU3" s="1142"/>
      <c r="CV3" s="1142"/>
      <c r="CW3" s="1142"/>
      <c r="CX3" s="1142"/>
      <c r="CY3" s="1142"/>
      <c r="CZ3" s="1142"/>
      <c r="DA3" s="1142"/>
    </row>
    <row r="4" s="805" customFormat="1" ht="31" hidden="1" customHeight="1" spans="1:105">
      <c r="A4" s="1100">
        <v>45828</v>
      </c>
      <c r="B4" s="895"/>
      <c r="C4" s="1101"/>
      <c r="D4" s="895" t="s">
        <v>141</v>
      </c>
      <c r="E4" s="285"/>
      <c r="G4" s="1102" t="s">
        <v>142</v>
      </c>
      <c r="H4" s="911" t="s">
        <v>143</v>
      </c>
      <c r="I4" s="911">
        <v>5</v>
      </c>
      <c r="J4" s="911">
        <v>0</v>
      </c>
      <c r="K4" s="911">
        <v>24</v>
      </c>
      <c r="L4" s="1112">
        <v>1</v>
      </c>
      <c r="M4" s="932">
        <v>45845</v>
      </c>
      <c r="N4" s="932">
        <v>45841</v>
      </c>
      <c r="O4" s="285"/>
      <c r="P4" s="1113"/>
      <c r="Q4" s="285"/>
      <c r="R4" s="1119" t="s">
        <v>58</v>
      </c>
      <c r="S4" s="1119" t="s">
        <v>58</v>
      </c>
      <c r="T4" s="1119" t="s">
        <v>58</v>
      </c>
      <c r="U4" s="946" t="s">
        <v>144</v>
      </c>
      <c r="V4" s="1120" t="s">
        <v>60</v>
      </c>
      <c r="W4" s="1121"/>
      <c r="X4" s="1122"/>
      <c r="Y4" s="285"/>
      <c r="Z4" s="285" t="s">
        <v>140</v>
      </c>
      <c r="AA4" s="285" t="s">
        <v>140</v>
      </c>
      <c r="AB4" s="911"/>
      <c r="AC4" s="285"/>
      <c r="AD4" s="933"/>
      <c r="AE4" s="933">
        <f>AD4-I4</f>
        <v>-5</v>
      </c>
      <c r="AF4" s="962"/>
      <c r="AG4" s="285"/>
      <c r="AH4" s="285"/>
      <c r="AI4" s="830">
        <f t="shared" si="0"/>
        <v>5</v>
      </c>
      <c r="AJ4" s="968"/>
      <c r="AK4" s="968"/>
      <c r="AL4" s="968"/>
      <c r="BC4" s="1101"/>
      <c r="BD4" s="1101"/>
      <c r="BE4" s="1101"/>
      <c r="BF4" s="1101"/>
      <c r="BG4" s="1101"/>
      <c r="BL4" s="291"/>
      <c r="BM4" s="291"/>
      <c r="BN4" s="291"/>
      <c r="BO4" s="291"/>
      <c r="BP4" s="291"/>
      <c r="BQ4" s="291"/>
      <c r="BT4" s="805">
        <f t="shared" si="1"/>
        <v>0</v>
      </c>
      <c r="BU4" s="805">
        <f t="shared" si="2"/>
        <v>0</v>
      </c>
      <c r="BV4" s="291">
        <f t="shared" ref="BV4:BV67" si="3">AI4+BV3</f>
        <v>1039</v>
      </c>
      <c r="BW4" s="291"/>
      <c r="BX4" s="291">
        <f t="shared" ref="BX4:BX67" si="4">$BX$1-BV4</f>
        <v>418961</v>
      </c>
      <c r="BY4" s="291"/>
      <c r="BZ4" s="291"/>
      <c r="CA4" s="291"/>
      <c r="CF4" s="1142"/>
      <c r="CG4" s="1142"/>
      <c r="CH4" s="1142"/>
      <c r="CI4" s="1142"/>
      <c r="CJ4" s="1142"/>
      <c r="CK4" s="1142"/>
      <c r="CL4" s="1142"/>
      <c r="CM4" s="1142"/>
      <c r="CN4" s="1142"/>
      <c r="CO4" s="1142"/>
      <c r="CP4" s="1142"/>
      <c r="CQ4" s="1142"/>
      <c r="CR4" s="1142"/>
      <c r="CS4" s="1142"/>
      <c r="CT4" s="1142"/>
      <c r="CU4" s="1142"/>
      <c r="CV4" s="1142"/>
      <c r="CW4" s="1142"/>
      <c r="CX4" s="1142"/>
      <c r="CY4" s="1142"/>
      <c r="CZ4" s="1142"/>
      <c r="DA4" s="1142"/>
    </row>
    <row r="5" s="968" customFormat="1" ht="31" hidden="1" customHeight="1" spans="1:79">
      <c r="A5" s="1100">
        <v>45828</v>
      </c>
      <c r="B5" s="895"/>
      <c r="C5" s="1103"/>
      <c r="D5" s="895" t="s">
        <v>141</v>
      </c>
      <c r="E5" s="911"/>
      <c r="F5" s="805"/>
      <c r="G5" s="1102" t="s">
        <v>145</v>
      </c>
      <c r="H5" s="911" t="s">
        <v>146</v>
      </c>
      <c r="I5" s="911">
        <v>20</v>
      </c>
      <c r="J5" s="911">
        <v>0</v>
      </c>
      <c r="K5" s="911">
        <v>24</v>
      </c>
      <c r="L5" s="1112">
        <v>1</v>
      </c>
      <c r="M5" s="932">
        <v>45845</v>
      </c>
      <c r="N5" s="932">
        <v>45841</v>
      </c>
      <c r="O5" s="911"/>
      <c r="P5" s="1113"/>
      <c r="Q5" s="911"/>
      <c r="R5" s="1119" t="s">
        <v>58</v>
      </c>
      <c r="S5" s="1119" t="s">
        <v>58</v>
      </c>
      <c r="T5" s="1119" t="s">
        <v>58</v>
      </c>
      <c r="U5" s="1123" t="s">
        <v>147</v>
      </c>
      <c r="V5" s="1120" t="s">
        <v>60</v>
      </c>
      <c r="W5" s="1121"/>
      <c r="X5" s="1122"/>
      <c r="Y5" s="911"/>
      <c r="Z5" s="285" t="s">
        <v>140</v>
      </c>
      <c r="AA5" s="285" t="s">
        <v>140</v>
      </c>
      <c r="AB5" s="911"/>
      <c r="AC5" s="911"/>
      <c r="AD5" s="1128"/>
      <c r="AE5" s="933"/>
      <c r="AF5" s="1129"/>
      <c r="AG5" s="911"/>
      <c r="AH5" s="911"/>
      <c r="AI5" s="830">
        <f t="shared" si="0"/>
        <v>20</v>
      </c>
      <c r="AP5" s="968">
        <v>20</v>
      </c>
      <c r="BL5" s="1141"/>
      <c r="BM5" s="1141"/>
      <c r="BN5" s="1141"/>
      <c r="BO5" s="1141"/>
      <c r="BP5" s="1141"/>
      <c r="BQ5" s="1141"/>
      <c r="BT5" s="805">
        <f t="shared" si="1"/>
        <v>0</v>
      </c>
      <c r="BU5" s="805">
        <f t="shared" si="2"/>
        <v>0</v>
      </c>
      <c r="BV5" s="291">
        <f t="shared" si="3"/>
        <v>1059</v>
      </c>
      <c r="BW5" s="1141"/>
      <c r="BX5" s="291">
        <f t="shared" si="4"/>
        <v>418941</v>
      </c>
      <c r="BY5" s="1141"/>
      <c r="BZ5" s="1141"/>
      <c r="CA5" s="1141"/>
    </row>
    <row r="6" s="805" customFormat="1" ht="31" hidden="1" customHeight="1" spans="1:105">
      <c r="A6" s="1100">
        <v>45828</v>
      </c>
      <c r="B6" s="895"/>
      <c r="C6" s="1101"/>
      <c r="D6" s="895" t="s">
        <v>141</v>
      </c>
      <c r="E6" s="285"/>
      <c r="F6" s="946"/>
      <c r="G6" s="1102" t="s">
        <v>136</v>
      </c>
      <c r="H6" s="911" t="s">
        <v>146</v>
      </c>
      <c r="I6" s="911">
        <v>20</v>
      </c>
      <c r="J6" s="911">
        <v>0</v>
      </c>
      <c r="K6" s="911">
        <v>24</v>
      </c>
      <c r="L6" s="1112">
        <v>1</v>
      </c>
      <c r="M6" s="932">
        <v>45845</v>
      </c>
      <c r="N6" s="932">
        <v>45841</v>
      </c>
      <c r="O6" s="285"/>
      <c r="P6" s="1113"/>
      <c r="Q6" s="285"/>
      <c r="R6" s="1119" t="s">
        <v>58</v>
      </c>
      <c r="S6" s="1119" t="s">
        <v>58</v>
      </c>
      <c r="T6" s="1119" t="s">
        <v>58</v>
      </c>
      <c r="U6" s="946" t="s">
        <v>147</v>
      </c>
      <c r="V6" s="1120" t="s">
        <v>60</v>
      </c>
      <c r="W6" s="1121"/>
      <c r="X6" s="1122"/>
      <c r="Y6" s="285"/>
      <c r="Z6" s="285" t="s">
        <v>140</v>
      </c>
      <c r="AA6" s="285" t="s">
        <v>140</v>
      </c>
      <c r="AB6" s="911"/>
      <c r="AC6" s="285"/>
      <c r="AD6" s="1130"/>
      <c r="AE6" s="933"/>
      <c r="AF6" s="1131"/>
      <c r="AG6" s="285"/>
      <c r="AH6" s="285"/>
      <c r="AI6" s="830">
        <f t="shared" si="0"/>
        <v>20</v>
      </c>
      <c r="AJ6" s="968"/>
      <c r="AK6" s="968"/>
      <c r="AL6" s="968"/>
      <c r="AR6" s="805">
        <v>20</v>
      </c>
      <c r="BC6" s="1101"/>
      <c r="BD6" s="1101"/>
      <c r="BE6" s="1101"/>
      <c r="BF6" s="1101"/>
      <c r="BG6" s="1101"/>
      <c r="BL6" s="291"/>
      <c r="BM6" s="291"/>
      <c r="BN6" s="291"/>
      <c r="BO6" s="291"/>
      <c r="BP6" s="291"/>
      <c r="BQ6" s="291"/>
      <c r="BT6" s="805">
        <f t="shared" si="1"/>
        <v>20</v>
      </c>
      <c r="BU6" s="805">
        <f t="shared" si="2"/>
        <v>0</v>
      </c>
      <c r="BV6" s="291">
        <f t="shared" si="3"/>
        <v>1079</v>
      </c>
      <c r="BW6" s="291"/>
      <c r="BX6" s="291">
        <f t="shared" si="4"/>
        <v>418921</v>
      </c>
      <c r="BY6" s="291"/>
      <c r="BZ6" s="291"/>
      <c r="CA6" s="291"/>
      <c r="CF6" s="1142"/>
      <c r="CG6" s="1142"/>
      <c r="CH6" s="1142"/>
      <c r="CI6" s="1142"/>
      <c r="CJ6" s="1142"/>
      <c r="CK6" s="1142"/>
      <c r="CL6" s="1142"/>
      <c r="CM6" s="1142"/>
      <c r="CN6" s="1142"/>
      <c r="CO6" s="1142"/>
      <c r="CP6" s="1142"/>
      <c r="CQ6" s="1142"/>
      <c r="CR6" s="1142"/>
      <c r="CS6" s="1142"/>
      <c r="CT6" s="1142"/>
      <c r="CU6" s="1142"/>
      <c r="CV6" s="1142"/>
      <c r="CW6" s="1142"/>
      <c r="CX6" s="1142"/>
      <c r="CY6" s="1142"/>
      <c r="CZ6" s="1142"/>
      <c r="DA6" s="1142"/>
    </row>
    <row r="7" s="804" customFormat="1" ht="31" hidden="1" customHeight="1" spans="1:105">
      <c r="A7" s="1104">
        <v>45866</v>
      </c>
      <c r="B7" s="959" t="s">
        <v>148</v>
      </c>
      <c r="C7" s="1105" t="s">
        <v>149</v>
      </c>
      <c r="D7" s="959">
        <v>4500173688</v>
      </c>
      <c r="E7" s="908">
        <v>21056035</v>
      </c>
      <c r="F7" s="943" t="s">
        <v>150</v>
      </c>
      <c r="G7" s="1106" t="s">
        <v>151</v>
      </c>
      <c r="H7" s="905" t="s">
        <v>152</v>
      </c>
      <c r="I7" s="905">
        <v>6370</v>
      </c>
      <c r="J7" s="905">
        <v>0</v>
      </c>
      <c r="K7" s="905">
        <v>13</v>
      </c>
      <c r="L7" s="1114">
        <f t="shared" ref="L7:L20" si="5">I7/K7</f>
        <v>490</v>
      </c>
      <c r="M7" s="928">
        <v>45898</v>
      </c>
      <c r="N7" s="928">
        <v>45894</v>
      </c>
      <c r="O7" s="908"/>
      <c r="P7" s="1115" t="s">
        <v>46</v>
      </c>
      <c r="Q7" s="908"/>
      <c r="R7" s="941">
        <v>45866</v>
      </c>
      <c r="S7" s="941" t="s">
        <v>48</v>
      </c>
      <c r="T7" s="941">
        <v>45876</v>
      </c>
      <c r="U7" s="943" t="s">
        <v>153</v>
      </c>
      <c r="V7" s="1124" t="s">
        <v>154</v>
      </c>
      <c r="W7" s="1125">
        <v>2.4275</v>
      </c>
      <c r="X7" s="1126">
        <f>I7*W7</f>
        <v>15463.175</v>
      </c>
      <c r="Y7" s="908" t="s">
        <v>155</v>
      </c>
      <c r="Z7" s="1106" t="s">
        <v>151</v>
      </c>
      <c r="AA7" s="905" t="s">
        <v>53</v>
      </c>
      <c r="AB7" s="905" t="s">
        <v>156</v>
      </c>
      <c r="AC7" s="908"/>
      <c r="AD7" s="1132">
        <f>4852+107+1411</f>
        <v>6370</v>
      </c>
      <c r="AE7" s="930">
        <f t="shared" ref="AE7:AE70" si="6">AD7-I7</f>
        <v>0</v>
      </c>
      <c r="AF7" s="1133"/>
      <c r="AG7" s="908" t="s">
        <v>55</v>
      </c>
      <c r="AH7" s="908"/>
      <c r="AI7" s="830">
        <f t="shared" si="0"/>
        <v>6370</v>
      </c>
      <c r="AJ7" s="969">
        <f t="shared" ref="AJ7:AJ22" si="7">I7</f>
        <v>6370</v>
      </c>
      <c r="AK7" s="969"/>
      <c r="AL7" s="969"/>
      <c r="AM7" s="804">
        <f t="shared" ref="AM7:AM57" si="8">I7</f>
        <v>6370</v>
      </c>
      <c r="AP7" s="804">
        <f>I7/13</f>
        <v>490</v>
      </c>
      <c r="BC7" s="1105"/>
      <c r="BD7" s="1105"/>
      <c r="BE7" s="1105"/>
      <c r="BF7" s="1105"/>
      <c r="BG7" s="1105"/>
      <c r="BL7" s="975"/>
      <c r="BM7" s="975"/>
      <c r="BN7" s="975"/>
      <c r="BO7" s="975"/>
      <c r="BP7" s="975"/>
      <c r="BQ7" s="975"/>
      <c r="BT7" s="805">
        <f t="shared" si="1"/>
        <v>0</v>
      </c>
      <c r="BU7" s="805">
        <f t="shared" si="2"/>
        <v>0</v>
      </c>
      <c r="BV7" s="291">
        <f t="shared" si="3"/>
        <v>7449</v>
      </c>
      <c r="BW7" s="975"/>
      <c r="BX7" s="291">
        <f t="shared" si="4"/>
        <v>412551</v>
      </c>
      <c r="BY7" s="975"/>
      <c r="BZ7" s="975"/>
      <c r="CA7" s="975"/>
      <c r="CF7" s="1138"/>
      <c r="CG7" s="1138"/>
      <c r="CH7" s="1138"/>
      <c r="CI7" s="1138"/>
      <c r="CJ7" s="1138"/>
      <c r="CK7" s="1138"/>
      <c r="CL7" s="1138"/>
      <c r="CM7" s="1138"/>
      <c r="CN7" s="1138"/>
      <c r="CO7" s="1138"/>
      <c r="CP7" s="1138"/>
      <c r="CQ7" s="1138"/>
      <c r="CR7" s="1138"/>
      <c r="CS7" s="1138"/>
      <c r="CT7" s="1138"/>
      <c r="CU7" s="1138"/>
      <c r="CV7" s="1138"/>
      <c r="CW7" s="1138"/>
      <c r="CX7" s="1138"/>
      <c r="CY7" s="1138"/>
      <c r="CZ7" s="1138"/>
      <c r="DA7" s="1138"/>
    </row>
    <row r="8" s="804" customFormat="1" ht="31" hidden="1" customHeight="1" spans="1:105">
      <c r="A8" s="1104">
        <v>45866</v>
      </c>
      <c r="B8" s="959" t="s">
        <v>157</v>
      </c>
      <c r="C8" s="1105" t="s">
        <v>158</v>
      </c>
      <c r="D8" s="959">
        <v>4500173689</v>
      </c>
      <c r="E8" s="908">
        <v>21056038</v>
      </c>
      <c r="F8" s="943" t="s">
        <v>159</v>
      </c>
      <c r="G8" s="1106" t="s">
        <v>151</v>
      </c>
      <c r="H8" s="905" t="s">
        <v>152</v>
      </c>
      <c r="I8" s="905">
        <v>702</v>
      </c>
      <c r="J8" s="905">
        <v>0</v>
      </c>
      <c r="K8" s="905">
        <v>13</v>
      </c>
      <c r="L8" s="1114">
        <f t="shared" si="5"/>
        <v>54</v>
      </c>
      <c r="M8" s="928">
        <v>45898</v>
      </c>
      <c r="N8" s="928">
        <v>45894</v>
      </c>
      <c r="O8" s="908"/>
      <c r="P8" s="1115" t="s">
        <v>46</v>
      </c>
      <c r="Q8" s="908"/>
      <c r="R8" s="941">
        <v>45866</v>
      </c>
      <c r="S8" s="941" t="s">
        <v>48</v>
      </c>
      <c r="T8" s="941">
        <v>45876</v>
      </c>
      <c r="U8" s="943" t="s">
        <v>160</v>
      </c>
      <c r="V8" s="1124" t="s">
        <v>154</v>
      </c>
      <c r="W8" s="1125">
        <v>2.4275</v>
      </c>
      <c r="X8" s="1126">
        <f>I8*W8</f>
        <v>1704.105</v>
      </c>
      <c r="Y8" s="908" t="s">
        <v>161</v>
      </c>
      <c r="Z8" s="1106" t="s">
        <v>151</v>
      </c>
      <c r="AA8" s="905" t="s">
        <v>53</v>
      </c>
      <c r="AB8" s="905" t="s">
        <v>156</v>
      </c>
      <c r="AC8" s="908"/>
      <c r="AD8" s="1132">
        <f>300+402</f>
        <v>702</v>
      </c>
      <c r="AE8" s="930">
        <f t="shared" si="6"/>
        <v>0</v>
      </c>
      <c r="AF8" s="1133"/>
      <c r="AG8" s="908" t="s">
        <v>55</v>
      </c>
      <c r="AH8" s="908"/>
      <c r="AI8" s="830">
        <f t="shared" ref="AI6:AI37" si="9">I8</f>
        <v>702</v>
      </c>
      <c r="AJ8" s="969">
        <f t="shared" si="7"/>
        <v>702</v>
      </c>
      <c r="AK8" s="969"/>
      <c r="AL8" s="969"/>
      <c r="AM8" s="804">
        <f t="shared" si="8"/>
        <v>702</v>
      </c>
      <c r="AP8" s="804">
        <f>I8/13</f>
        <v>54</v>
      </c>
      <c r="BC8" s="1105"/>
      <c r="BD8" s="1105"/>
      <c r="BE8" s="1105"/>
      <c r="BF8" s="1105"/>
      <c r="BG8" s="1105"/>
      <c r="BL8" s="975"/>
      <c r="BM8" s="975"/>
      <c r="BN8" s="975"/>
      <c r="BO8" s="975"/>
      <c r="BP8" s="975"/>
      <c r="BQ8" s="975"/>
      <c r="BT8" s="805">
        <f t="shared" si="1"/>
        <v>0</v>
      </c>
      <c r="BU8" s="805">
        <f t="shared" si="2"/>
        <v>0</v>
      </c>
      <c r="BV8" s="291">
        <f t="shared" si="3"/>
        <v>8151</v>
      </c>
      <c r="BW8" s="975"/>
      <c r="BX8" s="291">
        <f t="shared" si="4"/>
        <v>411849</v>
      </c>
      <c r="BY8" s="975"/>
      <c r="BZ8" s="975"/>
      <c r="CA8" s="975"/>
      <c r="CF8" s="1138"/>
      <c r="CG8" s="1138"/>
      <c r="CH8" s="1138"/>
      <c r="CI8" s="1138"/>
      <c r="CJ8" s="1138"/>
      <c r="CK8" s="1138"/>
      <c r="CL8" s="1138"/>
      <c r="CM8" s="1138"/>
      <c r="CN8" s="1138"/>
      <c r="CO8" s="1138"/>
      <c r="CP8" s="1138"/>
      <c r="CQ8" s="1138"/>
      <c r="CR8" s="1138"/>
      <c r="CS8" s="1138"/>
      <c r="CT8" s="1138"/>
      <c r="CU8" s="1138"/>
      <c r="CV8" s="1138"/>
      <c r="CW8" s="1138"/>
      <c r="CX8" s="1138"/>
      <c r="CY8" s="1138"/>
      <c r="CZ8" s="1138"/>
      <c r="DA8" s="1138"/>
    </row>
    <row r="9" s="804" customFormat="1" ht="31" hidden="1" customHeight="1" spans="1:105">
      <c r="A9" s="1104">
        <v>45853</v>
      </c>
      <c r="B9" s="959" t="s">
        <v>162</v>
      </c>
      <c r="C9" s="1105" t="s">
        <v>84</v>
      </c>
      <c r="D9" s="959">
        <v>4500173932</v>
      </c>
      <c r="E9" s="908" t="s">
        <v>163</v>
      </c>
      <c r="F9" s="943" t="s">
        <v>164</v>
      </c>
      <c r="G9" s="1106" t="s">
        <v>165</v>
      </c>
      <c r="H9" s="905" t="s">
        <v>166</v>
      </c>
      <c r="I9" s="905">
        <v>108004</v>
      </c>
      <c r="J9" s="905">
        <v>0</v>
      </c>
      <c r="K9" s="905">
        <v>26</v>
      </c>
      <c r="L9" s="1114">
        <f t="shared" si="5"/>
        <v>4154</v>
      </c>
      <c r="M9" s="928">
        <v>45908</v>
      </c>
      <c r="N9" s="928">
        <v>45904</v>
      </c>
      <c r="O9" s="908"/>
      <c r="P9" s="1115" t="s">
        <v>46</v>
      </c>
      <c r="Q9" s="908"/>
      <c r="R9" s="941">
        <v>45875</v>
      </c>
      <c r="S9" s="941" t="s">
        <v>48</v>
      </c>
      <c r="T9" s="941">
        <v>45875</v>
      </c>
      <c r="U9" s="943" t="s">
        <v>167</v>
      </c>
      <c r="V9" s="1124" t="s">
        <v>168</v>
      </c>
      <c r="W9" s="1125">
        <v>1.5191</v>
      </c>
      <c r="X9" s="1126">
        <f>I9*W9</f>
        <v>164068.8764</v>
      </c>
      <c r="Y9" s="1134" t="s">
        <v>169</v>
      </c>
      <c r="Z9" s="908" t="s">
        <v>165</v>
      </c>
      <c r="AA9" s="905" t="s">
        <v>53</v>
      </c>
      <c r="AB9" s="905" t="s">
        <v>54</v>
      </c>
      <c r="AC9" s="908"/>
      <c r="AD9" s="1132">
        <f>22464+11232+56160+18148</f>
        <v>108004</v>
      </c>
      <c r="AE9" s="930">
        <f t="shared" si="6"/>
        <v>0</v>
      </c>
      <c r="AF9" s="1133"/>
      <c r="AG9" s="908" t="s">
        <v>55</v>
      </c>
      <c r="AH9" s="908"/>
      <c r="AI9" s="830">
        <f t="shared" si="9"/>
        <v>108004</v>
      </c>
      <c r="AJ9" s="969">
        <f t="shared" si="7"/>
        <v>108004</v>
      </c>
      <c r="AK9" s="969"/>
      <c r="AL9" s="969"/>
      <c r="AM9" s="804">
        <f t="shared" si="8"/>
        <v>108004</v>
      </c>
      <c r="AZ9" s="804">
        <f>I9/26</f>
        <v>4154</v>
      </c>
      <c r="BC9" s="1105"/>
      <c r="BD9" s="1105"/>
      <c r="BE9" s="1105"/>
      <c r="BF9" s="1105"/>
      <c r="BG9" s="1105"/>
      <c r="BL9" s="975"/>
      <c r="BM9" s="975"/>
      <c r="BN9" s="975"/>
      <c r="BO9" s="975"/>
      <c r="BP9" s="975"/>
      <c r="BQ9" s="975"/>
      <c r="BT9" s="805">
        <f t="shared" si="1"/>
        <v>0</v>
      </c>
      <c r="BU9" s="805">
        <f t="shared" si="2"/>
        <v>0</v>
      </c>
      <c r="BV9" s="291">
        <f t="shared" si="3"/>
        <v>116155</v>
      </c>
      <c r="BW9" s="975"/>
      <c r="BX9" s="291">
        <f t="shared" si="4"/>
        <v>303845</v>
      </c>
      <c r="BY9" s="975"/>
      <c r="BZ9" s="975"/>
      <c r="CA9" s="975"/>
      <c r="CF9" s="1138"/>
      <c r="CG9" s="1138"/>
      <c r="CH9" s="1138"/>
      <c r="CI9" s="1138"/>
      <c r="CJ9" s="1138"/>
      <c r="CK9" s="1138"/>
      <c r="CL9" s="1138"/>
      <c r="CM9" s="1138"/>
      <c r="CN9" s="1138"/>
      <c r="CO9" s="1138"/>
      <c r="CP9" s="1138"/>
      <c r="CQ9" s="1138"/>
      <c r="CR9" s="1138"/>
      <c r="CS9" s="1138"/>
      <c r="CT9" s="1138"/>
      <c r="CU9" s="1138"/>
      <c r="CV9" s="1138"/>
      <c r="CW9" s="1138"/>
      <c r="CX9" s="1138"/>
      <c r="CY9" s="1138"/>
      <c r="CZ9" s="1138"/>
      <c r="DA9" s="1138"/>
    </row>
    <row r="10" s="804" customFormat="1" ht="31" hidden="1" customHeight="1" spans="1:105">
      <c r="A10" s="1104">
        <v>45873</v>
      </c>
      <c r="B10" s="959" t="s">
        <v>148</v>
      </c>
      <c r="C10" s="1105" t="s">
        <v>149</v>
      </c>
      <c r="D10" s="959">
        <v>4500175924</v>
      </c>
      <c r="E10" s="908">
        <v>21012356</v>
      </c>
      <c r="F10" s="943" t="s">
        <v>170</v>
      </c>
      <c r="G10" s="1106" t="s">
        <v>151</v>
      </c>
      <c r="H10" s="905" t="s">
        <v>152</v>
      </c>
      <c r="I10" s="905">
        <v>1508</v>
      </c>
      <c r="J10" s="905">
        <v>0</v>
      </c>
      <c r="K10" s="905">
        <v>13</v>
      </c>
      <c r="L10" s="1114">
        <f t="shared" si="5"/>
        <v>116</v>
      </c>
      <c r="M10" s="928">
        <v>45915</v>
      </c>
      <c r="N10" s="928">
        <v>45911</v>
      </c>
      <c r="O10" s="950"/>
      <c r="P10" s="1116" t="s">
        <v>46</v>
      </c>
      <c r="Q10" s="950">
        <v>45917</v>
      </c>
      <c r="R10" s="941">
        <v>45883</v>
      </c>
      <c r="S10" s="941" t="s">
        <v>48</v>
      </c>
      <c r="T10" s="941">
        <v>45877</v>
      </c>
      <c r="U10" s="943" t="s">
        <v>171</v>
      </c>
      <c r="V10" s="1124" t="s">
        <v>154</v>
      </c>
      <c r="W10" s="1125">
        <v>2.4275</v>
      </c>
      <c r="X10" s="1126">
        <f>W10*I10</f>
        <v>3660.67</v>
      </c>
      <c r="Y10" s="908" t="s">
        <v>172</v>
      </c>
      <c r="Z10" s="1106" t="s">
        <v>151</v>
      </c>
      <c r="AA10" s="905" t="s">
        <v>53</v>
      </c>
      <c r="AB10" s="905" t="s">
        <v>54</v>
      </c>
      <c r="AC10" s="908"/>
      <c r="AD10" s="1132">
        <v>1508</v>
      </c>
      <c r="AE10" s="930">
        <f t="shared" si="6"/>
        <v>0</v>
      </c>
      <c r="AF10" s="1133"/>
      <c r="AG10" s="908" t="s">
        <v>55</v>
      </c>
      <c r="AH10" s="908"/>
      <c r="AI10" s="830">
        <f t="shared" si="9"/>
        <v>1508</v>
      </c>
      <c r="AJ10" s="969">
        <f t="shared" si="7"/>
        <v>1508</v>
      </c>
      <c r="AK10" s="969"/>
      <c r="AL10" s="969"/>
      <c r="AM10" s="804">
        <f t="shared" si="8"/>
        <v>1508</v>
      </c>
      <c r="AP10" s="804">
        <f>I10/13</f>
        <v>116</v>
      </c>
      <c r="BC10" s="1105"/>
      <c r="BD10" s="1105"/>
      <c r="BE10" s="1105"/>
      <c r="BF10" s="1105"/>
      <c r="BG10" s="1105"/>
      <c r="BL10" s="975"/>
      <c r="BM10" s="975"/>
      <c r="BN10" s="975"/>
      <c r="BO10" s="975"/>
      <c r="BP10" s="975"/>
      <c r="BQ10" s="975"/>
      <c r="BT10" s="805">
        <f t="shared" si="1"/>
        <v>0</v>
      </c>
      <c r="BU10" s="805">
        <f t="shared" si="2"/>
        <v>0</v>
      </c>
      <c r="BV10" s="291">
        <f t="shared" si="3"/>
        <v>117663</v>
      </c>
      <c r="BW10" s="975"/>
      <c r="BX10" s="291">
        <f t="shared" si="4"/>
        <v>302337</v>
      </c>
      <c r="BY10" s="975"/>
      <c r="BZ10" s="975"/>
      <c r="CA10" s="975"/>
      <c r="CF10" s="1138"/>
      <c r="CG10" s="1138"/>
      <c r="CH10" s="1138"/>
      <c r="CI10" s="1138"/>
      <c r="CJ10" s="1138"/>
      <c r="CK10" s="1138"/>
      <c r="CL10" s="1138"/>
      <c r="CM10" s="1138"/>
      <c r="CN10" s="1138"/>
      <c r="CO10" s="1138"/>
      <c r="CP10" s="1138"/>
      <c r="CQ10" s="1138"/>
      <c r="CR10" s="1138"/>
      <c r="CS10" s="1138"/>
      <c r="CT10" s="1138"/>
      <c r="CU10" s="1138"/>
      <c r="CV10" s="1138"/>
      <c r="CW10" s="1138"/>
      <c r="CX10" s="1138"/>
      <c r="CY10" s="1138"/>
      <c r="CZ10" s="1138"/>
      <c r="DA10" s="1138"/>
    </row>
    <row r="11" s="804" customFormat="1" ht="31" hidden="1" customHeight="1" spans="1:105">
      <c r="A11" s="1104">
        <v>45880</v>
      </c>
      <c r="B11" s="959" t="s">
        <v>148</v>
      </c>
      <c r="C11" s="1105" t="s">
        <v>149</v>
      </c>
      <c r="D11" s="959">
        <v>4500175924</v>
      </c>
      <c r="E11" s="908">
        <v>21089022</v>
      </c>
      <c r="F11" s="943" t="s">
        <v>173</v>
      </c>
      <c r="G11" s="1106" t="s">
        <v>151</v>
      </c>
      <c r="H11" s="905" t="s">
        <v>152</v>
      </c>
      <c r="I11" s="905">
        <v>3094</v>
      </c>
      <c r="J11" s="905">
        <v>0</v>
      </c>
      <c r="K11" s="905">
        <v>13</v>
      </c>
      <c r="L11" s="1114">
        <f t="shared" si="5"/>
        <v>238</v>
      </c>
      <c r="M11" s="928">
        <v>45915</v>
      </c>
      <c r="N11" s="928">
        <v>45911</v>
      </c>
      <c r="O11" s="950"/>
      <c r="P11" s="1116" t="s">
        <v>46</v>
      </c>
      <c r="Q11" s="950">
        <v>45917</v>
      </c>
      <c r="R11" s="941">
        <v>45883</v>
      </c>
      <c r="S11" s="941" t="s">
        <v>48</v>
      </c>
      <c r="T11" s="941">
        <v>45877</v>
      </c>
      <c r="U11" s="943" t="s">
        <v>171</v>
      </c>
      <c r="V11" s="1124" t="s">
        <v>154</v>
      </c>
      <c r="W11" s="1125">
        <v>2.4275</v>
      </c>
      <c r="X11" s="1126">
        <f>W11*I11</f>
        <v>7510.685</v>
      </c>
      <c r="Y11" s="908" t="s">
        <v>174</v>
      </c>
      <c r="Z11" s="1106" t="s">
        <v>151</v>
      </c>
      <c r="AA11" s="905" t="s">
        <v>53</v>
      </c>
      <c r="AB11" s="905" t="s">
        <v>54</v>
      </c>
      <c r="AC11" s="908"/>
      <c r="AD11" s="1132">
        <v>3094</v>
      </c>
      <c r="AE11" s="930">
        <f t="shared" si="6"/>
        <v>0</v>
      </c>
      <c r="AF11" s="1133"/>
      <c r="AG11" s="908" t="s">
        <v>55</v>
      </c>
      <c r="AH11" s="908"/>
      <c r="AI11" s="830">
        <f t="shared" si="9"/>
        <v>3094</v>
      </c>
      <c r="AJ11" s="969">
        <f t="shared" si="7"/>
        <v>3094</v>
      </c>
      <c r="AK11" s="969"/>
      <c r="AL11" s="969"/>
      <c r="AM11" s="804">
        <f t="shared" si="8"/>
        <v>3094</v>
      </c>
      <c r="AP11" s="804">
        <f>I11/13</f>
        <v>238</v>
      </c>
      <c r="BC11" s="1105"/>
      <c r="BD11" s="1105"/>
      <c r="BE11" s="1105"/>
      <c r="BF11" s="1105"/>
      <c r="BG11" s="1105"/>
      <c r="BL11" s="975"/>
      <c r="BM11" s="975"/>
      <c r="BN11" s="975"/>
      <c r="BO11" s="975"/>
      <c r="BP11" s="975"/>
      <c r="BQ11" s="975"/>
      <c r="BT11" s="805">
        <f t="shared" si="1"/>
        <v>0</v>
      </c>
      <c r="BU11" s="805">
        <f t="shared" si="2"/>
        <v>0</v>
      </c>
      <c r="BV11" s="291">
        <f t="shared" si="3"/>
        <v>120757</v>
      </c>
      <c r="BW11" s="975"/>
      <c r="BX11" s="291">
        <f t="shared" si="4"/>
        <v>299243</v>
      </c>
      <c r="BY11" s="975"/>
      <c r="BZ11" s="975"/>
      <c r="CA11" s="975"/>
      <c r="CF11" s="1138"/>
      <c r="CG11" s="1138"/>
      <c r="CH11" s="1138"/>
      <c r="CI11" s="1138"/>
      <c r="CJ11" s="1138"/>
      <c r="CK11" s="1138"/>
      <c r="CL11" s="1138"/>
      <c r="CM11" s="1138"/>
      <c r="CN11" s="1138"/>
      <c r="CO11" s="1138"/>
      <c r="CP11" s="1138"/>
      <c r="CQ11" s="1138"/>
      <c r="CR11" s="1138"/>
      <c r="CS11" s="1138"/>
      <c r="CT11" s="1138"/>
      <c r="CU11" s="1138"/>
      <c r="CV11" s="1138"/>
      <c r="CW11" s="1138"/>
      <c r="CX11" s="1138"/>
      <c r="CY11" s="1138"/>
      <c r="CZ11" s="1138"/>
      <c r="DA11" s="1138"/>
    </row>
    <row r="12" s="804" customFormat="1" ht="31" hidden="1" customHeight="1" spans="1:105">
      <c r="A12" s="1104">
        <v>45880</v>
      </c>
      <c r="B12" s="959" t="s">
        <v>157</v>
      </c>
      <c r="C12" s="1105" t="s">
        <v>158</v>
      </c>
      <c r="D12" s="959">
        <v>4500175925</v>
      </c>
      <c r="E12" s="908">
        <v>21089023</v>
      </c>
      <c r="F12" s="943" t="s">
        <v>175</v>
      </c>
      <c r="G12" s="1106" t="s">
        <v>151</v>
      </c>
      <c r="H12" s="905" t="s">
        <v>152</v>
      </c>
      <c r="I12" s="905">
        <v>130</v>
      </c>
      <c r="J12" s="905">
        <v>0</v>
      </c>
      <c r="K12" s="905">
        <v>13</v>
      </c>
      <c r="L12" s="1114">
        <f t="shared" si="5"/>
        <v>10</v>
      </c>
      <c r="M12" s="928">
        <v>45915</v>
      </c>
      <c r="N12" s="928">
        <v>45911</v>
      </c>
      <c r="O12" s="950"/>
      <c r="P12" s="1116" t="s">
        <v>46</v>
      </c>
      <c r="Q12" s="950">
        <v>45917</v>
      </c>
      <c r="R12" s="941">
        <v>45883</v>
      </c>
      <c r="S12" s="941" t="s">
        <v>48</v>
      </c>
      <c r="T12" s="941">
        <v>45877</v>
      </c>
      <c r="U12" s="943" t="s">
        <v>176</v>
      </c>
      <c r="V12" s="1124" t="s">
        <v>154</v>
      </c>
      <c r="W12" s="1125">
        <v>2.4275</v>
      </c>
      <c r="X12" s="1126">
        <f>W12*I12</f>
        <v>315.575</v>
      </c>
      <c r="Y12" s="908" t="s">
        <v>177</v>
      </c>
      <c r="Z12" s="1106" t="s">
        <v>151</v>
      </c>
      <c r="AA12" s="905" t="s">
        <v>53</v>
      </c>
      <c r="AB12" s="905" t="s">
        <v>54</v>
      </c>
      <c r="AC12" s="908"/>
      <c r="AD12" s="1132">
        <v>130</v>
      </c>
      <c r="AE12" s="930">
        <f t="shared" si="6"/>
        <v>0</v>
      </c>
      <c r="AF12" s="1133"/>
      <c r="AG12" s="908" t="s">
        <v>55</v>
      </c>
      <c r="AH12" s="908"/>
      <c r="AI12" s="830">
        <f t="shared" si="9"/>
        <v>130</v>
      </c>
      <c r="AJ12" s="969">
        <f t="shared" si="7"/>
        <v>130</v>
      </c>
      <c r="AK12" s="969"/>
      <c r="AL12" s="969"/>
      <c r="AM12" s="804">
        <f t="shared" si="8"/>
        <v>130</v>
      </c>
      <c r="AP12" s="804">
        <f>I12/13</f>
        <v>10</v>
      </c>
      <c r="BC12" s="1105"/>
      <c r="BD12" s="1105"/>
      <c r="BE12" s="1105"/>
      <c r="BF12" s="1105"/>
      <c r="BG12" s="1105"/>
      <c r="BL12" s="975"/>
      <c r="BM12" s="975"/>
      <c r="BN12" s="975"/>
      <c r="BO12" s="975"/>
      <c r="BP12" s="975"/>
      <c r="BQ12" s="975"/>
      <c r="BT12" s="805">
        <f t="shared" si="1"/>
        <v>0</v>
      </c>
      <c r="BU12" s="805">
        <f t="shared" si="2"/>
        <v>0</v>
      </c>
      <c r="BV12" s="291">
        <f t="shared" si="3"/>
        <v>120887</v>
      </c>
      <c r="BW12" s="975"/>
      <c r="BX12" s="291">
        <f t="shared" si="4"/>
        <v>299113</v>
      </c>
      <c r="BY12" s="975"/>
      <c r="BZ12" s="975"/>
      <c r="CA12" s="975"/>
      <c r="CF12" s="1138"/>
      <c r="CG12" s="1138"/>
      <c r="CH12" s="1138"/>
      <c r="CI12" s="1138"/>
      <c r="CJ12" s="1138"/>
      <c r="CK12" s="1138"/>
      <c r="CL12" s="1138"/>
      <c r="CM12" s="1138"/>
      <c r="CN12" s="1138"/>
      <c r="CO12" s="1138"/>
      <c r="CP12" s="1138"/>
      <c r="CQ12" s="1138"/>
      <c r="CR12" s="1138"/>
      <c r="CS12" s="1138"/>
      <c r="CT12" s="1138"/>
      <c r="CU12" s="1138"/>
      <c r="CV12" s="1138"/>
      <c r="CW12" s="1138"/>
      <c r="CX12" s="1138"/>
      <c r="CY12" s="1138"/>
      <c r="CZ12" s="1138"/>
      <c r="DA12" s="1138"/>
    </row>
    <row r="13" s="804" customFormat="1" ht="31" hidden="1" customHeight="1" spans="1:105">
      <c r="A13" s="1104">
        <v>45877</v>
      </c>
      <c r="B13" s="959" t="s">
        <v>178</v>
      </c>
      <c r="C13" s="1105" t="s">
        <v>179</v>
      </c>
      <c r="D13" s="959">
        <v>4500176402</v>
      </c>
      <c r="E13" s="908" t="s">
        <v>180</v>
      </c>
      <c r="F13" s="943" t="s">
        <v>181</v>
      </c>
      <c r="G13" s="1106" t="s">
        <v>136</v>
      </c>
      <c r="H13" s="905" t="s">
        <v>137</v>
      </c>
      <c r="I13" s="905">
        <v>3750</v>
      </c>
      <c r="J13" s="905">
        <v>0</v>
      </c>
      <c r="K13" s="905">
        <v>50</v>
      </c>
      <c r="L13" s="1114">
        <f t="shared" si="5"/>
        <v>75</v>
      </c>
      <c r="M13" s="928">
        <v>45915</v>
      </c>
      <c r="N13" s="928">
        <v>45911</v>
      </c>
      <c r="O13" s="908"/>
      <c r="P13" s="1116" t="s">
        <v>46</v>
      </c>
      <c r="Q13" s="908"/>
      <c r="R13" s="941">
        <v>45880</v>
      </c>
      <c r="S13" s="941" t="s">
        <v>58</v>
      </c>
      <c r="T13" s="941">
        <v>45896</v>
      </c>
      <c r="U13" s="943" t="s">
        <v>182</v>
      </c>
      <c r="V13" s="1124" t="s">
        <v>183</v>
      </c>
      <c r="W13" s="1125">
        <v>2.35</v>
      </c>
      <c r="X13" s="1126">
        <f>W13*I13</f>
        <v>8812.5</v>
      </c>
      <c r="Y13" s="908" t="s">
        <v>184</v>
      </c>
      <c r="Z13" s="908" t="s">
        <v>136</v>
      </c>
      <c r="AA13" s="905" t="s">
        <v>53</v>
      </c>
      <c r="AB13" s="905" t="s">
        <v>54</v>
      </c>
      <c r="AC13" s="908"/>
      <c r="AD13" s="1132">
        <v>3750</v>
      </c>
      <c r="AE13" s="930">
        <f t="shared" si="6"/>
        <v>0</v>
      </c>
      <c r="AF13" s="1133"/>
      <c r="AG13" s="908" t="s">
        <v>55</v>
      </c>
      <c r="AH13" s="908"/>
      <c r="AI13" s="830">
        <f t="shared" si="9"/>
        <v>3750</v>
      </c>
      <c r="AJ13" s="969">
        <f t="shared" si="7"/>
        <v>3750</v>
      </c>
      <c r="AK13" s="969"/>
      <c r="AL13" s="969"/>
      <c r="AM13" s="969">
        <f t="shared" si="8"/>
        <v>3750</v>
      </c>
      <c r="AO13" s="969"/>
      <c r="AR13" s="804">
        <f>L13*2</f>
        <v>150</v>
      </c>
      <c r="BC13" s="1105"/>
      <c r="BD13" s="1105"/>
      <c r="BE13" s="1105"/>
      <c r="BF13" s="1105"/>
      <c r="BG13" s="1105"/>
      <c r="BL13" s="975"/>
      <c r="BM13" s="975"/>
      <c r="BN13" s="975"/>
      <c r="BO13" s="975"/>
      <c r="BP13" s="975"/>
      <c r="BQ13" s="975"/>
      <c r="BT13" s="805">
        <f t="shared" si="1"/>
        <v>150</v>
      </c>
      <c r="BU13" s="805">
        <f t="shared" si="2"/>
        <v>0</v>
      </c>
      <c r="BV13" s="291">
        <f t="shared" si="3"/>
        <v>124637</v>
      </c>
      <c r="BW13" s="975"/>
      <c r="BX13" s="291">
        <f t="shared" si="4"/>
        <v>295363</v>
      </c>
      <c r="BY13" s="975"/>
      <c r="BZ13" s="975"/>
      <c r="CA13" s="975"/>
      <c r="CF13" s="1138"/>
      <c r="CG13" s="1138"/>
      <c r="CH13" s="1138"/>
      <c r="CI13" s="1138"/>
      <c r="CJ13" s="1138"/>
      <c r="CK13" s="1138"/>
      <c r="CL13" s="1138"/>
      <c r="CM13" s="1138"/>
      <c r="CN13" s="1138"/>
      <c r="CO13" s="1138"/>
      <c r="CP13" s="1138"/>
      <c r="CQ13" s="1138"/>
      <c r="CR13" s="1138"/>
      <c r="CS13" s="1138"/>
      <c r="CT13" s="1138"/>
      <c r="CU13" s="1138"/>
      <c r="CV13" s="1138"/>
      <c r="CW13" s="1138"/>
      <c r="CX13" s="1138"/>
      <c r="CY13" s="1138"/>
      <c r="CZ13" s="1138"/>
      <c r="DA13" s="1138"/>
    </row>
    <row r="14" s="804" customFormat="1" ht="31" hidden="1" customHeight="1" spans="1:105">
      <c r="A14" s="1104">
        <v>45869</v>
      </c>
      <c r="B14" s="959" t="s">
        <v>185</v>
      </c>
      <c r="C14" s="1105" t="s">
        <v>149</v>
      </c>
      <c r="D14" s="959">
        <v>4500175512</v>
      </c>
      <c r="E14" s="908">
        <v>84457</v>
      </c>
      <c r="F14" s="943" t="s">
        <v>186</v>
      </c>
      <c r="G14" s="1106" t="s">
        <v>187</v>
      </c>
      <c r="H14" s="905" t="s">
        <v>188</v>
      </c>
      <c r="I14" s="905">
        <v>1250</v>
      </c>
      <c r="J14" s="905">
        <v>0</v>
      </c>
      <c r="K14" s="905">
        <v>25</v>
      </c>
      <c r="L14" s="1114">
        <f t="shared" si="5"/>
        <v>50</v>
      </c>
      <c r="M14" s="928">
        <v>45918</v>
      </c>
      <c r="N14" s="928">
        <v>45915</v>
      </c>
      <c r="O14" s="908"/>
      <c r="P14" s="1116" t="s">
        <v>46</v>
      </c>
      <c r="Q14" s="908"/>
      <c r="R14" s="941">
        <v>45869</v>
      </c>
      <c r="S14" s="941" t="s">
        <v>58</v>
      </c>
      <c r="T14" s="941">
        <v>45869</v>
      </c>
      <c r="U14" s="943" t="s">
        <v>189</v>
      </c>
      <c r="V14" s="1124" t="s">
        <v>183</v>
      </c>
      <c r="W14" s="1125">
        <v>2.61</v>
      </c>
      <c r="X14" s="1126">
        <f>I14*W14</f>
        <v>3262.5</v>
      </c>
      <c r="Y14" s="908" t="s">
        <v>190</v>
      </c>
      <c r="Z14" s="1106" t="s">
        <v>187</v>
      </c>
      <c r="AA14" s="905" t="s">
        <v>53</v>
      </c>
      <c r="AB14" s="905" t="s">
        <v>54</v>
      </c>
      <c r="AC14" s="908"/>
      <c r="AD14" s="1132">
        <v>1250</v>
      </c>
      <c r="AE14" s="930">
        <f t="shared" si="6"/>
        <v>0</v>
      </c>
      <c r="AF14" s="1133"/>
      <c r="AG14" s="908" t="s">
        <v>55</v>
      </c>
      <c r="AH14" s="908"/>
      <c r="AI14" s="830">
        <f t="shared" si="9"/>
        <v>1250</v>
      </c>
      <c r="AJ14" s="969">
        <f t="shared" si="7"/>
        <v>1250</v>
      </c>
      <c r="AK14" s="969"/>
      <c r="AL14" s="969"/>
      <c r="AM14" s="804">
        <f t="shared" si="8"/>
        <v>1250</v>
      </c>
      <c r="AR14" s="804">
        <f>I14/25</f>
        <v>50</v>
      </c>
      <c r="BC14" s="1105"/>
      <c r="BD14" s="1105"/>
      <c r="BE14" s="1105"/>
      <c r="BF14" s="1105"/>
      <c r="BG14" s="1105"/>
      <c r="BL14" s="975"/>
      <c r="BM14" s="975"/>
      <c r="BN14" s="975"/>
      <c r="BO14" s="975"/>
      <c r="BP14" s="975"/>
      <c r="BQ14" s="975"/>
      <c r="BT14" s="805">
        <f t="shared" si="1"/>
        <v>50</v>
      </c>
      <c r="BU14" s="805">
        <f t="shared" si="2"/>
        <v>0</v>
      </c>
      <c r="BV14" s="291">
        <f t="shared" si="3"/>
        <v>125887</v>
      </c>
      <c r="BW14" s="975"/>
      <c r="BX14" s="291">
        <f t="shared" si="4"/>
        <v>294113</v>
      </c>
      <c r="BY14" s="975"/>
      <c r="BZ14" s="975"/>
      <c r="CA14" s="975"/>
      <c r="CF14" s="1138"/>
      <c r="CG14" s="1138"/>
      <c r="CH14" s="1138"/>
      <c r="CI14" s="1138"/>
      <c r="CJ14" s="1138"/>
      <c r="CK14" s="1138"/>
      <c r="CL14" s="1138"/>
      <c r="CM14" s="1138"/>
      <c r="CN14" s="1138"/>
      <c r="CO14" s="1138"/>
      <c r="CP14" s="1138"/>
      <c r="CQ14" s="1138"/>
      <c r="CR14" s="1138"/>
      <c r="CS14" s="1138"/>
      <c r="CT14" s="1138"/>
      <c r="CU14" s="1138"/>
      <c r="CV14" s="1138"/>
      <c r="CW14" s="1138"/>
      <c r="CX14" s="1138"/>
      <c r="CY14" s="1138"/>
      <c r="CZ14" s="1138"/>
      <c r="DA14" s="1138"/>
    </row>
    <row r="15" s="804" customFormat="1" ht="31" hidden="1" customHeight="1" spans="1:105">
      <c r="A15" s="1104">
        <v>45877</v>
      </c>
      <c r="B15" s="959" t="s">
        <v>191</v>
      </c>
      <c r="C15" s="1105" t="s">
        <v>84</v>
      </c>
      <c r="D15" s="959">
        <v>4500176410</v>
      </c>
      <c r="E15" s="908">
        <v>217985641</v>
      </c>
      <c r="F15" s="943" t="s">
        <v>192</v>
      </c>
      <c r="G15" s="1106" t="s">
        <v>151</v>
      </c>
      <c r="H15" s="905" t="s">
        <v>152</v>
      </c>
      <c r="I15" s="905">
        <v>2691</v>
      </c>
      <c r="J15" s="905">
        <v>0</v>
      </c>
      <c r="K15" s="905">
        <v>13</v>
      </c>
      <c r="L15" s="1114">
        <f t="shared" si="5"/>
        <v>207</v>
      </c>
      <c r="M15" s="1117">
        <v>45920</v>
      </c>
      <c r="N15" s="1117">
        <v>45916</v>
      </c>
      <c r="O15" s="950"/>
      <c r="P15" s="1116" t="s">
        <v>46</v>
      </c>
      <c r="Q15" s="950" t="s">
        <v>193</v>
      </c>
      <c r="R15" s="941">
        <v>45887</v>
      </c>
      <c r="S15" s="941" t="s">
        <v>58</v>
      </c>
      <c r="T15" s="941" t="s">
        <v>58</v>
      </c>
      <c r="U15" s="943" t="s">
        <v>194</v>
      </c>
      <c r="V15" s="1124" t="s">
        <v>195</v>
      </c>
      <c r="W15" s="1125">
        <v>1.4565</v>
      </c>
      <c r="X15" s="1126">
        <f>W15*I15</f>
        <v>3919.4415</v>
      </c>
      <c r="Y15" s="908" t="s">
        <v>196</v>
      </c>
      <c r="Z15" s="1106" t="s">
        <v>151</v>
      </c>
      <c r="AA15" s="905" t="s">
        <v>53</v>
      </c>
      <c r="AB15" s="905" t="s">
        <v>54</v>
      </c>
      <c r="AC15" s="908"/>
      <c r="AD15" s="1132">
        <v>2691</v>
      </c>
      <c r="AE15" s="930">
        <f t="shared" si="6"/>
        <v>0</v>
      </c>
      <c r="AF15" s="1133"/>
      <c r="AG15" s="908" t="s">
        <v>58</v>
      </c>
      <c r="AH15" s="908"/>
      <c r="AI15" s="830">
        <f t="shared" si="9"/>
        <v>2691</v>
      </c>
      <c r="AJ15" s="969">
        <f t="shared" si="7"/>
        <v>2691</v>
      </c>
      <c r="AL15" s="969"/>
      <c r="AM15" s="804">
        <f t="shared" si="8"/>
        <v>2691</v>
      </c>
      <c r="AP15" s="804">
        <f>I15/13</f>
        <v>207</v>
      </c>
      <c r="BC15" s="1105"/>
      <c r="BD15" s="1105"/>
      <c r="BE15" s="1105"/>
      <c r="BF15" s="1105"/>
      <c r="BG15" s="1105"/>
      <c r="BL15" s="975"/>
      <c r="BM15" s="975"/>
      <c r="BN15" s="975"/>
      <c r="BO15" s="975"/>
      <c r="BP15" s="975"/>
      <c r="BQ15" s="975"/>
      <c r="BT15" s="805">
        <f t="shared" si="1"/>
        <v>0</v>
      </c>
      <c r="BU15" s="805">
        <f t="shared" si="2"/>
        <v>0</v>
      </c>
      <c r="BV15" s="291">
        <f t="shared" si="3"/>
        <v>128578</v>
      </c>
      <c r="BW15" s="975"/>
      <c r="BX15" s="291">
        <f t="shared" si="4"/>
        <v>291422</v>
      </c>
      <c r="BY15" s="975"/>
      <c r="BZ15" s="975"/>
      <c r="CA15" s="975"/>
      <c r="CF15" s="1138"/>
      <c r="CG15" s="1138"/>
      <c r="CH15" s="1138"/>
      <c r="CI15" s="1138"/>
      <c r="CJ15" s="1138"/>
      <c r="CK15" s="1138"/>
      <c r="CL15" s="1138"/>
      <c r="CM15" s="1138"/>
      <c r="CN15" s="1138"/>
      <c r="CO15" s="1138"/>
      <c r="CP15" s="1138"/>
      <c r="CQ15" s="1138"/>
      <c r="CR15" s="1138"/>
      <c r="CS15" s="1138"/>
      <c r="CT15" s="1138"/>
      <c r="CU15" s="1138"/>
      <c r="CV15" s="1138"/>
      <c r="CW15" s="1138"/>
      <c r="CX15" s="1138"/>
      <c r="CY15" s="1138"/>
      <c r="CZ15" s="1138"/>
      <c r="DA15" s="1138"/>
    </row>
    <row r="16" s="804" customFormat="1" ht="31" hidden="1" customHeight="1" spans="1:105">
      <c r="A16" s="1104">
        <v>45877</v>
      </c>
      <c r="B16" s="959" t="s">
        <v>191</v>
      </c>
      <c r="C16" s="1105" t="s">
        <v>84</v>
      </c>
      <c r="D16" s="959">
        <v>4500176411</v>
      </c>
      <c r="E16" s="908">
        <v>217985572</v>
      </c>
      <c r="F16" s="943" t="s">
        <v>197</v>
      </c>
      <c r="G16" s="1106" t="s">
        <v>151</v>
      </c>
      <c r="H16" s="905" t="s">
        <v>152</v>
      </c>
      <c r="I16" s="905">
        <v>4784</v>
      </c>
      <c r="J16" s="905">
        <v>0</v>
      </c>
      <c r="K16" s="905">
        <v>13</v>
      </c>
      <c r="L16" s="1114">
        <f t="shared" si="5"/>
        <v>368</v>
      </c>
      <c r="M16" s="1117">
        <v>45920</v>
      </c>
      <c r="N16" s="1117">
        <v>45916</v>
      </c>
      <c r="O16" s="950"/>
      <c r="P16" s="1116" t="s">
        <v>46</v>
      </c>
      <c r="Q16" s="950" t="s">
        <v>193</v>
      </c>
      <c r="R16" s="941">
        <v>45887</v>
      </c>
      <c r="S16" s="941" t="s">
        <v>58</v>
      </c>
      <c r="T16" s="941" t="s">
        <v>58</v>
      </c>
      <c r="U16" s="943" t="s">
        <v>194</v>
      </c>
      <c r="V16" s="1124" t="s">
        <v>195</v>
      </c>
      <c r="W16" s="1125">
        <v>1.4565</v>
      </c>
      <c r="X16" s="1126">
        <f>W16*I16</f>
        <v>6967.896</v>
      </c>
      <c r="Y16" s="908" t="s">
        <v>198</v>
      </c>
      <c r="Z16" s="1106" t="s">
        <v>151</v>
      </c>
      <c r="AA16" s="905" t="s">
        <v>53</v>
      </c>
      <c r="AB16" s="905" t="s">
        <v>54</v>
      </c>
      <c r="AC16" s="908"/>
      <c r="AD16" s="1132">
        <v>4784</v>
      </c>
      <c r="AE16" s="930">
        <f t="shared" si="6"/>
        <v>0</v>
      </c>
      <c r="AF16" s="1133"/>
      <c r="AG16" s="908" t="s">
        <v>58</v>
      </c>
      <c r="AH16" s="908"/>
      <c r="AI16" s="830">
        <f t="shared" si="9"/>
        <v>4784</v>
      </c>
      <c r="AJ16" s="969">
        <f t="shared" si="7"/>
        <v>4784</v>
      </c>
      <c r="AL16" s="969"/>
      <c r="AM16" s="804">
        <f t="shared" si="8"/>
        <v>4784</v>
      </c>
      <c r="AP16" s="804">
        <f>I16/13</f>
        <v>368</v>
      </c>
      <c r="BC16" s="1105"/>
      <c r="BD16" s="1105"/>
      <c r="BE16" s="1105"/>
      <c r="BF16" s="1105"/>
      <c r="BG16" s="1105"/>
      <c r="BL16" s="975"/>
      <c r="BM16" s="975"/>
      <c r="BN16" s="975"/>
      <c r="BO16" s="975"/>
      <c r="BP16" s="975"/>
      <c r="BQ16" s="975"/>
      <c r="BT16" s="805">
        <f t="shared" si="1"/>
        <v>0</v>
      </c>
      <c r="BU16" s="805">
        <f t="shared" si="2"/>
        <v>0</v>
      </c>
      <c r="BV16" s="291">
        <f t="shared" si="3"/>
        <v>133362</v>
      </c>
      <c r="BW16" s="975"/>
      <c r="BX16" s="291">
        <f t="shared" si="4"/>
        <v>286638</v>
      </c>
      <c r="BY16" s="975"/>
      <c r="BZ16" s="975"/>
      <c r="CA16" s="975"/>
      <c r="CF16" s="1138"/>
      <c r="CG16" s="1138"/>
      <c r="CH16" s="1138"/>
      <c r="CI16" s="1138"/>
      <c r="CJ16" s="1138"/>
      <c r="CK16" s="1138"/>
      <c r="CL16" s="1138"/>
      <c r="CM16" s="1138"/>
      <c r="CN16" s="1138"/>
      <c r="CO16" s="1138"/>
      <c r="CP16" s="1138"/>
      <c r="CQ16" s="1138"/>
      <c r="CR16" s="1138"/>
      <c r="CS16" s="1138"/>
      <c r="CT16" s="1138"/>
      <c r="CU16" s="1138"/>
      <c r="CV16" s="1138"/>
      <c r="CW16" s="1138"/>
      <c r="CX16" s="1138"/>
      <c r="CY16" s="1138"/>
      <c r="CZ16" s="1138"/>
      <c r="DA16" s="1138"/>
    </row>
    <row r="17" s="804" customFormat="1" ht="31" hidden="1" customHeight="1" spans="1:105">
      <c r="A17" s="1104">
        <v>45884</v>
      </c>
      <c r="B17" s="959" t="s">
        <v>199</v>
      </c>
      <c r="C17" s="1105" t="s">
        <v>84</v>
      </c>
      <c r="D17" s="959">
        <v>4500177086</v>
      </c>
      <c r="E17" s="1294" t="s">
        <v>200</v>
      </c>
      <c r="F17" s="943" t="s">
        <v>201</v>
      </c>
      <c r="G17" s="1106" t="s">
        <v>202</v>
      </c>
      <c r="H17" s="905" t="s">
        <v>203</v>
      </c>
      <c r="I17" s="905">
        <v>960</v>
      </c>
      <c r="J17" s="905">
        <v>0</v>
      </c>
      <c r="K17" s="905">
        <v>16</v>
      </c>
      <c r="L17" s="1114">
        <f t="shared" si="5"/>
        <v>60</v>
      </c>
      <c r="M17" s="928">
        <v>45922</v>
      </c>
      <c r="N17" s="928">
        <v>45918</v>
      </c>
      <c r="O17" s="908" t="s">
        <v>204</v>
      </c>
      <c r="P17" s="1116" t="s">
        <v>46</v>
      </c>
      <c r="Q17" s="908" t="s">
        <v>205</v>
      </c>
      <c r="R17" s="941">
        <v>45884</v>
      </c>
      <c r="S17" s="941" t="s">
        <v>58</v>
      </c>
      <c r="T17" s="941">
        <v>45902</v>
      </c>
      <c r="U17" s="949" t="s">
        <v>206</v>
      </c>
      <c r="V17" s="1124" t="s">
        <v>207</v>
      </c>
      <c r="W17" s="1125">
        <v>1.596</v>
      </c>
      <c r="X17" s="1126">
        <f>W17*I17</f>
        <v>1532.16</v>
      </c>
      <c r="Y17" s="908" t="s">
        <v>208</v>
      </c>
      <c r="Z17" s="1106" t="s">
        <v>202</v>
      </c>
      <c r="AA17" s="905" t="s">
        <v>53</v>
      </c>
      <c r="AB17" s="905" t="s">
        <v>54</v>
      </c>
      <c r="AC17" s="908"/>
      <c r="AD17" s="1132">
        <v>960</v>
      </c>
      <c r="AE17" s="1132">
        <f t="shared" si="6"/>
        <v>0</v>
      </c>
      <c r="AF17" s="1133"/>
      <c r="AG17" s="908" t="s">
        <v>55</v>
      </c>
      <c r="AH17" s="908"/>
      <c r="AI17" s="830">
        <f t="shared" si="9"/>
        <v>960</v>
      </c>
      <c r="AJ17" s="969">
        <f t="shared" si="7"/>
        <v>960</v>
      </c>
      <c r="AL17" s="969"/>
      <c r="AM17" s="804">
        <f t="shared" si="8"/>
        <v>960</v>
      </c>
      <c r="AW17" s="804">
        <f>I17/16</f>
        <v>60</v>
      </c>
      <c r="BC17" s="1105"/>
      <c r="BD17" s="1105"/>
      <c r="BE17" s="1105"/>
      <c r="BF17" s="1105"/>
      <c r="BG17" s="1105"/>
      <c r="BL17" s="975"/>
      <c r="BM17" s="975"/>
      <c r="BN17" s="975"/>
      <c r="BO17" s="975"/>
      <c r="BP17" s="975"/>
      <c r="BQ17" s="975"/>
      <c r="BT17" s="805">
        <f t="shared" si="1"/>
        <v>60</v>
      </c>
      <c r="BU17" s="805">
        <f t="shared" si="2"/>
        <v>0</v>
      </c>
      <c r="BV17" s="291">
        <f t="shared" si="3"/>
        <v>134322</v>
      </c>
      <c r="BW17" s="975"/>
      <c r="BX17" s="291">
        <f t="shared" si="4"/>
        <v>285678</v>
      </c>
      <c r="BY17" s="975"/>
      <c r="BZ17" s="975"/>
      <c r="CA17" s="975"/>
      <c r="CF17" s="1138"/>
      <c r="CG17" s="1138"/>
      <c r="CH17" s="1138"/>
      <c r="CI17" s="1138"/>
      <c r="CJ17" s="1138"/>
      <c r="CK17" s="1138"/>
      <c r="CL17" s="1138"/>
      <c r="CM17" s="1138"/>
      <c r="CN17" s="1138"/>
      <c r="CO17" s="1138"/>
      <c r="CP17" s="1138"/>
      <c r="CQ17" s="1138"/>
      <c r="CR17" s="1138"/>
      <c r="CS17" s="1138"/>
      <c r="CT17" s="1138"/>
      <c r="CU17" s="1138"/>
      <c r="CV17" s="1138"/>
      <c r="CW17" s="1138"/>
      <c r="CX17" s="1138"/>
      <c r="CY17" s="1138"/>
      <c r="CZ17" s="1138"/>
      <c r="DA17" s="1138"/>
    </row>
    <row r="18" s="804" customFormat="1" ht="31" hidden="1" customHeight="1" spans="1:105">
      <c r="A18" s="1104">
        <v>45889</v>
      </c>
      <c r="B18" s="959" t="s">
        <v>209</v>
      </c>
      <c r="C18" s="1105" t="s">
        <v>210</v>
      </c>
      <c r="D18" s="959">
        <v>4500177281</v>
      </c>
      <c r="E18" s="908" t="s">
        <v>211</v>
      </c>
      <c r="F18" s="1107" t="s">
        <v>212</v>
      </c>
      <c r="G18" s="1106" t="s">
        <v>145</v>
      </c>
      <c r="H18" s="905" t="s">
        <v>137</v>
      </c>
      <c r="I18" s="1118">
        <v>520</v>
      </c>
      <c r="J18" s="905">
        <v>0</v>
      </c>
      <c r="K18" s="905">
        <v>52</v>
      </c>
      <c r="L18" s="1114">
        <f t="shared" si="5"/>
        <v>10</v>
      </c>
      <c r="M18" s="928">
        <v>45923</v>
      </c>
      <c r="N18" s="928">
        <v>45919</v>
      </c>
      <c r="O18" s="908"/>
      <c r="P18" s="1116" t="s">
        <v>46</v>
      </c>
      <c r="Q18" s="908"/>
      <c r="R18" s="941">
        <v>45891</v>
      </c>
      <c r="S18" s="941" t="s">
        <v>58</v>
      </c>
      <c r="T18" s="941">
        <v>45895</v>
      </c>
      <c r="U18" s="943" t="s">
        <v>213</v>
      </c>
      <c r="V18" s="1124" t="s">
        <v>214</v>
      </c>
      <c r="W18" s="1125">
        <v>2.15</v>
      </c>
      <c r="X18" s="1126">
        <f>W18*I18</f>
        <v>1118</v>
      </c>
      <c r="Y18" s="908" t="s">
        <v>215</v>
      </c>
      <c r="Z18" s="1106" t="s">
        <v>145</v>
      </c>
      <c r="AA18" s="905" t="s">
        <v>53</v>
      </c>
      <c r="AB18" s="905" t="s">
        <v>54</v>
      </c>
      <c r="AC18" s="908"/>
      <c r="AD18" s="1132">
        <v>520</v>
      </c>
      <c r="AE18" s="1132">
        <f t="shared" si="6"/>
        <v>0</v>
      </c>
      <c r="AF18" s="1133"/>
      <c r="AG18" s="908" t="s">
        <v>55</v>
      </c>
      <c r="AH18" s="908"/>
      <c r="AI18" s="830">
        <f t="shared" si="9"/>
        <v>520</v>
      </c>
      <c r="AJ18" s="969">
        <f t="shared" si="7"/>
        <v>520</v>
      </c>
      <c r="AL18" s="969"/>
      <c r="AM18" s="804">
        <f t="shared" si="8"/>
        <v>520</v>
      </c>
      <c r="AP18" s="1138">
        <f>I18/13</f>
        <v>40</v>
      </c>
      <c r="BC18" s="1105"/>
      <c r="BD18" s="1105"/>
      <c r="BE18" s="1105"/>
      <c r="BF18" s="1105"/>
      <c r="BG18" s="1105"/>
      <c r="BL18" s="975"/>
      <c r="BM18" s="975"/>
      <c r="BN18" s="975"/>
      <c r="BO18" s="975"/>
      <c r="BP18" s="975"/>
      <c r="BQ18" s="975"/>
      <c r="BT18" s="805">
        <f t="shared" si="1"/>
        <v>0</v>
      </c>
      <c r="BU18" s="805">
        <f t="shared" si="2"/>
        <v>0</v>
      </c>
      <c r="BV18" s="291">
        <f t="shared" si="3"/>
        <v>134842</v>
      </c>
      <c r="BW18" s="975"/>
      <c r="BX18" s="291">
        <f t="shared" si="4"/>
        <v>285158</v>
      </c>
      <c r="BY18" s="975"/>
      <c r="BZ18" s="975"/>
      <c r="CA18" s="975"/>
      <c r="CF18" s="1138"/>
      <c r="CG18" s="1138"/>
      <c r="CH18" s="1138"/>
      <c r="CI18" s="1138"/>
      <c r="CJ18" s="1138"/>
      <c r="CK18" s="1138"/>
      <c r="CL18" s="1138"/>
      <c r="CM18" s="1138"/>
      <c r="CN18" s="1138"/>
      <c r="CO18" s="1138"/>
      <c r="CP18" s="1138"/>
      <c r="CQ18" s="1138"/>
      <c r="CR18" s="1138"/>
      <c r="CS18" s="1138"/>
      <c r="CT18" s="1138"/>
      <c r="CU18" s="1138"/>
      <c r="CV18" s="1138"/>
      <c r="CW18" s="1138"/>
      <c r="CX18" s="1138"/>
      <c r="CY18" s="1138"/>
      <c r="CZ18" s="1138"/>
      <c r="DA18" s="1138"/>
    </row>
    <row r="19" s="804" customFormat="1" ht="31" hidden="1" customHeight="1" spans="1:105">
      <c r="A19" s="1104">
        <v>45889</v>
      </c>
      <c r="B19" s="959" t="s">
        <v>216</v>
      </c>
      <c r="C19" s="1105" t="s">
        <v>217</v>
      </c>
      <c r="D19" s="959">
        <v>4500177396</v>
      </c>
      <c r="E19" s="908" t="s">
        <v>218</v>
      </c>
      <c r="F19" s="1107" t="s">
        <v>219</v>
      </c>
      <c r="G19" s="1106" t="s">
        <v>145</v>
      </c>
      <c r="H19" s="905" t="s">
        <v>137</v>
      </c>
      <c r="I19" s="905">
        <v>520</v>
      </c>
      <c r="J19" s="905">
        <v>0</v>
      </c>
      <c r="K19" s="905">
        <v>52</v>
      </c>
      <c r="L19" s="1114">
        <f t="shared" si="5"/>
        <v>10</v>
      </c>
      <c r="M19" s="928">
        <v>45923</v>
      </c>
      <c r="N19" s="928">
        <v>45919</v>
      </c>
      <c r="O19" s="908" t="s">
        <v>220</v>
      </c>
      <c r="P19" s="1116" t="s">
        <v>46</v>
      </c>
      <c r="Q19" s="908"/>
      <c r="R19" s="941">
        <v>45895</v>
      </c>
      <c r="S19" s="941" t="s">
        <v>58</v>
      </c>
      <c r="T19" s="941" t="s">
        <v>58</v>
      </c>
      <c r="U19" s="949" t="s">
        <v>221</v>
      </c>
      <c r="V19" s="1124" t="s">
        <v>214</v>
      </c>
      <c r="W19" s="1125">
        <v>2.15</v>
      </c>
      <c r="X19" s="1126">
        <f>W19*I19</f>
        <v>1118</v>
      </c>
      <c r="Y19" s="908" t="s">
        <v>222</v>
      </c>
      <c r="Z19" s="1106" t="s">
        <v>145</v>
      </c>
      <c r="AA19" s="905" t="s">
        <v>53</v>
      </c>
      <c r="AB19" s="905" t="s">
        <v>54</v>
      </c>
      <c r="AC19" s="908"/>
      <c r="AD19" s="1132">
        <v>520</v>
      </c>
      <c r="AE19" s="1132">
        <f t="shared" si="6"/>
        <v>0</v>
      </c>
      <c r="AF19" s="1133"/>
      <c r="AG19" s="908" t="s">
        <v>58</v>
      </c>
      <c r="AH19" s="908"/>
      <c r="AI19" s="830">
        <f t="shared" si="9"/>
        <v>520</v>
      </c>
      <c r="AJ19" s="969">
        <f t="shared" si="7"/>
        <v>520</v>
      </c>
      <c r="AL19" s="969"/>
      <c r="AM19" s="804">
        <f t="shared" si="8"/>
        <v>520</v>
      </c>
      <c r="AP19" s="804">
        <f>I19/13</f>
        <v>40</v>
      </c>
      <c r="BC19" s="1105"/>
      <c r="BD19" s="1105"/>
      <c r="BE19" s="1105"/>
      <c r="BF19" s="1105"/>
      <c r="BG19" s="1105"/>
      <c r="BL19" s="975"/>
      <c r="BM19" s="975"/>
      <c r="BN19" s="975"/>
      <c r="BO19" s="975"/>
      <c r="BP19" s="975"/>
      <c r="BQ19" s="975"/>
      <c r="BT19" s="805">
        <f t="shared" si="1"/>
        <v>0</v>
      </c>
      <c r="BU19" s="805">
        <f t="shared" si="2"/>
        <v>0</v>
      </c>
      <c r="BV19" s="291">
        <f t="shared" si="3"/>
        <v>135362</v>
      </c>
      <c r="BW19" s="975"/>
      <c r="BX19" s="291">
        <f t="shared" si="4"/>
        <v>284638</v>
      </c>
      <c r="BY19" s="975"/>
      <c r="BZ19" s="975"/>
      <c r="CA19" s="975"/>
      <c r="CF19" s="1138"/>
      <c r="CG19" s="1138"/>
      <c r="CH19" s="1138"/>
      <c r="CI19" s="1138"/>
      <c r="CJ19" s="1138"/>
      <c r="CK19" s="1138"/>
      <c r="CL19" s="1138"/>
      <c r="CM19" s="1138"/>
      <c r="CN19" s="1138"/>
      <c r="CO19" s="1138"/>
      <c r="CP19" s="1138"/>
      <c r="CQ19" s="1138"/>
      <c r="CR19" s="1138"/>
      <c r="CS19" s="1138"/>
      <c r="CT19" s="1138"/>
      <c r="CU19" s="1138"/>
      <c r="CV19" s="1138"/>
      <c r="CW19" s="1138"/>
      <c r="CX19" s="1138"/>
      <c r="CY19" s="1138"/>
      <c r="CZ19" s="1138"/>
      <c r="DA19" s="1138"/>
    </row>
    <row r="20" s="804" customFormat="1" ht="31" hidden="1" customHeight="1" spans="1:105">
      <c r="A20" s="1104">
        <v>45884</v>
      </c>
      <c r="B20" s="959"/>
      <c r="C20" s="1105"/>
      <c r="D20" s="959" t="s">
        <v>223</v>
      </c>
      <c r="E20" s="908"/>
      <c r="F20" s="943"/>
      <c r="G20" s="1106" t="s">
        <v>145</v>
      </c>
      <c r="H20" s="905" t="s">
        <v>137</v>
      </c>
      <c r="I20" s="905">
        <v>390</v>
      </c>
      <c r="J20" s="905">
        <v>0</v>
      </c>
      <c r="K20" s="1118">
        <v>52</v>
      </c>
      <c r="L20" s="1114">
        <f t="shared" si="5"/>
        <v>7.5</v>
      </c>
      <c r="M20" s="928">
        <v>45909</v>
      </c>
      <c r="N20" s="928">
        <v>45905</v>
      </c>
      <c r="O20" s="908"/>
      <c r="P20" s="1116" t="s">
        <v>46</v>
      </c>
      <c r="Q20" s="908"/>
      <c r="R20" s="941" t="s">
        <v>57</v>
      </c>
      <c r="S20" s="941" t="s">
        <v>58</v>
      </c>
      <c r="T20" s="941" t="s">
        <v>58</v>
      </c>
      <c r="U20" s="943" t="s">
        <v>224</v>
      </c>
      <c r="V20" s="1124" t="s">
        <v>60</v>
      </c>
      <c r="W20" s="1125"/>
      <c r="X20" s="1126"/>
      <c r="Y20" s="908" t="s">
        <v>225</v>
      </c>
      <c r="Z20" s="1106" t="s">
        <v>145</v>
      </c>
      <c r="AA20" s="905" t="s">
        <v>53</v>
      </c>
      <c r="AB20" s="905" t="s">
        <v>54</v>
      </c>
      <c r="AC20" s="908"/>
      <c r="AD20" s="1132">
        <v>390</v>
      </c>
      <c r="AE20" s="930">
        <f t="shared" si="6"/>
        <v>0</v>
      </c>
      <c r="AF20" s="1133"/>
      <c r="AG20" s="908"/>
      <c r="AH20" s="908"/>
      <c r="AI20" s="830">
        <f t="shared" si="9"/>
        <v>390</v>
      </c>
      <c r="AJ20" s="969">
        <f t="shared" si="7"/>
        <v>390</v>
      </c>
      <c r="AK20" s="969"/>
      <c r="AL20" s="969"/>
      <c r="AM20" s="804">
        <f t="shared" si="8"/>
        <v>390</v>
      </c>
      <c r="AP20" s="804">
        <f>I20/13</f>
        <v>30</v>
      </c>
      <c r="BC20" s="1105"/>
      <c r="BD20" s="1105"/>
      <c r="BE20" s="1105"/>
      <c r="BF20" s="1105"/>
      <c r="BG20" s="1105"/>
      <c r="BL20" s="975"/>
      <c r="BM20" s="975"/>
      <c r="BN20" s="975"/>
      <c r="BO20" s="975"/>
      <c r="BP20" s="975"/>
      <c r="BQ20" s="975"/>
      <c r="BT20" s="805">
        <f t="shared" si="1"/>
        <v>0</v>
      </c>
      <c r="BU20" s="805">
        <f t="shared" si="2"/>
        <v>0</v>
      </c>
      <c r="BV20" s="291">
        <f t="shared" si="3"/>
        <v>135752</v>
      </c>
      <c r="BW20" s="975"/>
      <c r="BX20" s="291">
        <f t="shared" si="4"/>
        <v>284248</v>
      </c>
      <c r="BY20" s="975"/>
      <c r="BZ20" s="975"/>
      <c r="CA20" s="975"/>
      <c r="CF20" s="1138"/>
      <c r="CG20" s="1138"/>
      <c r="CH20" s="1138"/>
      <c r="CI20" s="1138"/>
      <c r="CJ20" s="1138"/>
      <c r="CK20" s="1138"/>
      <c r="CL20" s="1138"/>
      <c r="CM20" s="1138"/>
      <c r="CN20" s="1138"/>
      <c r="CO20" s="1138"/>
      <c r="CP20" s="1138"/>
      <c r="CQ20" s="1138"/>
      <c r="CR20" s="1138"/>
      <c r="CS20" s="1138"/>
      <c r="CT20" s="1138"/>
      <c r="CU20" s="1138"/>
      <c r="CV20" s="1138"/>
      <c r="CW20" s="1138"/>
      <c r="CX20" s="1138"/>
      <c r="CY20" s="1138"/>
      <c r="CZ20" s="1138"/>
      <c r="DA20" s="1138"/>
    </row>
    <row r="21" s="804" customFormat="1" ht="31" hidden="1" customHeight="1" spans="1:105">
      <c r="A21" s="1104">
        <v>45884</v>
      </c>
      <c r="B21" s="959"/>
      <c r="C21" s="1105"/>
      <c r="D21" s="959" t="s">
        <v>223</v>
      </c>
      <c r="E21" s="908"/>
      <c r="F21" s="943"/>
      <c r="G21" s="1106" t="s">
        <v>136</v>
      </c>
      <c r="H21" s="905" t="s">
        <v>137</v>
      </c>
      <c r="I21" s="905">
        <v>1500</v>
      </c>
      <c r="J21" s="905">
        <v>0</v>
      </c>
      <c r="K21" s="905">
        <v>25</v>
      </c>
      <c r="L21" s="1114">
        <v>30</v>
      </c>
      <c r="M21" s="928">
        <v>45909</v>
      </c>
      <c r="N21" s="928">
        <v>45905</v>
      </c>
      <c r="O21" s="908"/>
      <c r="P21" s="1116" t="s">
        <v>46</v>
      </c>
      <c r="Q21" s="908"/>
      <c r="R21" s="941" t="s">
        <v>57</v>
      </c>
      <c r="S21" s="941" t="s">
        <v>58</v>
      </c>
      <c r="T21" s="941" t="s">
        <v>58</v>
      </c>
      <c r="U21" s="943" t="s">
        <v>224</v>
      </c>
      <c r="V21" s="1124" t="s">
        <v>60</v>
      </c>
      <c r="W21" s="1125"/>
      <c r="X21" s="1126"/>
      <c r="Y21" s="908" t="s">
        <v>225</v>
      </c>
      <c r="Z21" s="908" t="s">
        <v>136</v>
      </c>
      <c r="AA21" s="905" t="s">
        <v>53</v>
      </c>
      <c r="AB21" s="905" t="s">
        <v>54</v>
      </c>
      <c r="AC21" s="908"/>
      <c r="AD21" s="1132">
        <v>1500</v>
      </c>
      <c r="AE21" s="930">
        <f t="shared" si="6"/>
        <v>0</v>
      </c>
      <c r="AF21" s="1133"/>
      <c r="AG21" s="908"/>
      <c r="AH21" s="908"/>
      <c r="AI21" s="830">
        <f t="shared" si="9"/>
        <v>1500</v>
      </c>
      <c r="AJ21" s="969">
        <f t="shared" si="7"/>
        <v>1500</v>
      </c>
      <c r="AK21" s="969"/>
      <c r="AL21" s="969"/>
      <c r="AM21" s="969">
        <f t="shared" si="8"/>
        <v>1500</v>
      </c>
      <c r="AO21" s="969"/>
      <c r="AR21" s="804">
        <f>I21/K21</f>
        <v>60</v>
      </c>
      <c r="BC21" s="1105"/>
      <c r="BD21" s="1105"/>
      <c r="BE21" s="1105"/>
      <c r="BF21" s="1105"/>
      <c r="BG21" s="1105"/>
      <c r="BL21" s="975"/>
      <c r="BM21" s="975"/>
      <c r="BN21" s="975"/>
      <c r="BO21" s="975"/>
      <c r="BP21" s="975"/>
      <c r="BQ21" s="975"/>
      <c r="BT21" s="805">
        <f t="shared" si="1"/>
        <v>60</v>
      </c>
      <c r="BU21" s="805">
        <f t="shared" si="2"/>
        <v>0</v>
      </c>
      <c r="BV21" s="291">
        <f t="shared" si="3"/>
        <v>137252</v>
      </c>
      <c r="BW21" s="975"/>
      <c r="BX21" s="291">
        <f t="shared" si="4"/>
        <v>282748</v>
      </c>
      <c r="BY21" s="975"/>
      <c r="BZ21" s="975"/>
      <c r="CA21" s="975"/>
      <c r="CF21" s="1138"/>
      <c r="CG21" s="1138"/>
      <c r="CH21" s="1138"/>
      <c r="CI21" s="1138"/>
      <c r="CJ21" s="1138"/>
      <c r="CK21" s="1138"/>
      <c r="CL21" s="1138"/>
      <c r="CM21" s="1138"/>
      <c r="CN21" s="1138"/>
      <c r="CO21" s="1138"/>
      <c r="CP21" s="1138"/>
      <c r="CQ21" s="1138"/>
      <c r="CR21" s="1138"/>
      <c r="CS21" s="1138"/>
      <c r="CT21" s="1138"/>
      <c r="CU21" s="1138"/>
      <c r="CV21" s="1138"/>
      <c r="CW21" s="1138"/>
      <c r="CX21" s="1138"/>
      <c r="CY21" s="1138"/>
      <c r="CZ21" s="1138"/>
      <c r="DA21" s="1138"/>
    </row>
    <row r="22" s="804" customFormat="1" ht="31" hidden="1" customHeight="1" spans="1:105">
      <c r="A22" s="1104">
        <v>45894</v>
      </c>
      <c r="B22" s="959" t="s">
        <v>226</v>
      </c>
      <c r="C22" s="1105" t="s">
        <v>158</v>
      </c>
      <c r="D22" s="959">
        <v>4500179435</v>
      </c>
      <c r="E22" s="908">
        <v>5200007745</v>
      </c>
      <c r="F22" s="943" t="s">
        <v>227</v>
      </c>
      <c r="G22" s="1106" t="s">
        <v>145</v>
      </c>
      <c r="H22" s="905" t="s">
        <v>137</v>
      </c>
      <c r="I22" s="905">
        <v>208</v>
      </c>
      <c r="J22" s="905">
        <v>0</v>
      </c>
      <c r="K22" s="905">
        <v>52</v>
      </c>
      <c r="L22" s="1114">
        <f t="shared" ref="L22:L80" si="10">I22/K22</f>
        <v>4</v>
      </c>
      <c r="M22" s="928">
        <v>45915</v>
      </c>
      <c r="N22" s="928">
        <v>45911</v>
      </c>
      <c r="O22" s="908"/>
      <c r="P22" s="1116" t="s">
        <v>46</v>
      </c>
      <c r="Q22" s="908"/>
      <c r="R22" s="1127" t="s">
        <v>228</v>
      </c>
      <c r="S22" s="941" t="s">
        <v>48</v>
      </c>
      <c r="T22" s="1127" t="s">
        <v>229</v>
      </c>
      <c r="U22" s="943" t="s">
        <v>230</v>
      </c>
      <c r="V22" s="1124" t="s">
        <v>231</v>
      </c>
      <c r="W22" s="1125"/>
      <c r="X22" s="1126"/>
      <c r="Y22" s="908" t="s">
        <v>232</v>
      </c>
      <c r="Z22" s="1106" t="s">
        <v>145</v>
      </c>
      <c r="AA22" s="905" t="s">
        <v>53</v>
      </c>
      <c r="AB22" s="905" t="s">
        <v>54</v>
      </c>
      <c r="AC22" s="908"/>
      <c r="AD22" s="1132">
        <v>208</v>
      </c>
      <c r="AE22" s="930">
        <f t="shared" si="6"/>
        <v>0</v>
      </c>
      <c r="AF22" s="1133"/>
      <c r="AG22" s="908" t="s">
        <v>55</v>
      </c>
      <c r="AH22" s="908"/>
      <c r="AI22" s="830">
        <f t="shared" si="9"/>
        <v>208</v>
      </c>
      <c r="AJ22" s="969">
        <f t="shared" si="7"/>
        <v>208</v>
      </c>
      <c r="AK22" s="969"/>
      <c r="AL22" s="969"/>
      <c r="AM22" s="804">
        <f t="shared" si="8"/>
        <v>208</v>
      </c>
      <c r="AP22" s="804">
        <f>I22/13</f>
        <v>16</v>
      </c>
      <c r="BC22" s="1105"/>
      <c r="BD22" s="1105"/>
      <c r="BE22" s="1105"/>
      <c r="BF22" s="1105"/>
      <c r="BG22" s="1105"/>
      <c r="BL22" s="975"/>
      <c r="BM22" s="975"/>
      <c r="BN22" s="975"/>
      <c r="BO22" s="975"/>
      <c r="BP22" s="975"/>
      <c r="BQ22" s="975"/>
      <c r="BT22" s="805">
        <f t="shared" si="1"/>
        <v>0</v>
      </c>
      <c r="BU22" s="805">
        <f t="shared" si="2"/>
        <v>0</v>
      </c>
      <c r="BV22" s="291">
        <f t="shared" si="3"/>
        <v>137460</v>
      </c>
      <c r="BW22" s="975"/>
      <c r="BX22" s="291">
        <f t="shared" si="4"/>
        <v>282540</v>
      </c>
      <c r="BY22" s="975"/>
      <c r="BZ22" s="975"/>
      <c r="CA22" s="975"/>
      <c r="CF22" s="1138"/>
      <c r="CG22" s="1138"/>
      <c r="CH22" s="1138"/>
      <c r="CI22" s="1138"/>
      <c r="CJ22" s="1138"/>
      <c r="CK22" s="1138"/>
      <c r="CL22" s="1138"/>
      <c r="CM22" s="1138"/>
      <c r="CN22" s="1138"/>
      <c r="CO22" s="1138"/>
      <c r="CP22" s="1138"/>
      <c r="CQ22" s="1138"/>
      <c r="CR22" s="1138"/>
      <c r="CS22" s="1138"/>
      <c r="CT22" s="1138"/>
      <c r="CU22" s="1138"/>
      <c r="CV22" s="1138"/>
      <c r="CW22" s="1138"/>
      <c r="CX22" s="1138"/>
      <c r="CY22" s="1138"/>
      <c r="CZ22" s="1138"/>
      <c r="DA22" s="1138"/>
    </row>
    <row r="23" s="804" customFormat="1" ht="31" hidden="1" customHeight="1" spans="1:105">
      <c r="A23" s="1104">
        <v>45868</v>
      </c>
      <c r="B23" s="959" t="s">
        <v>233</v>
      </c>
      <c r="C23" s="1105" t="s">
        <v>70</v>
      </c>
      <c r="D23" s="959">
        <v>4500175551</v>
      </c>
      <c r="E23" s="908">
        <v>5200007337</v>
      </c>
      <c r="F23" s="943" t="s">
        <v>234</v>
      </c>
      <c r="G23" s="1106" t="s">
        <v>235</v>
      </c>
      <c r="H23" s="905" t="s">
        <v>236</v>
      </c>
      <c r="I23" s="905">
        <v>3601</v>
      </c>
      <c r="J23" s="905">
        <v>0</v>
      </c>
      <c r="K23" s="905">
        <v>13</v>
      </c>
      <c r="L23" s="1114">
        <f t="shared" si="10"/>
        <v>277</v>
      </c>
      <c r="M23" s="928">
        <v>45919</v>
      </c>
      <c r="N23" s="928">
        <v>45915</v>
      </c>
      <c r="O23" s="908"/>
      <c r="P23" s="1116" t="s">
        <v>46</v>
      </c>
      <c r="Q23" s="908"/>
      <c r="R23" s="941">
        <v>45868</v>
      </c>
      <c r="S23" s="941" t="s">
        <v>58</v>
      </c>
      <c r="T23" s="941">
        <v>45869</v>
      </c>
      <c r="U23" s="943" t="s">
        <v>237</v>
      </c>
      <c r="V23" s="1124" t="s">
        <v>238</v>
      </c>
      <c r="W23" s="1125">
        <v>2.39</v>
      </c>
      <c r="X23" s="1126">
        <f>I23*W23</f>
        <v>8606.39</v>
      </c>
      <c r="Y23" s="908" t="s">
        <v>239</v>
      </c>
      <c r="Z23" s="1106" t="s">
        <v>235</v>
      </c>
      <c r="AA23" s="905" t="s">
        <v>53</v>
      </c>
      <c r="AB23" s="905" t="s">
        <v>54</v>
      </c>
      <c r="AC23" s="908"/>
      <c r="AD23" s="1132">
        <v>3601</v>
      </c>
      <c r="AE23" s="930">
        <f t="shared" si="6"/>
        <v>0</v>
      </c>
      <c r="AF23" s="1133"/>
      <c r="AG23" s="908" t="s">
        <v>55</v>
      </c>
      <c r="AH23" s="908"/>
      <c r="AI23" s="830">
        <f t="shared" si="9"/>
        <v>3601</v>
      </c>
      <c r="AJ23" s="969"/>
      <c r="AL23" s="969">
        <f>I23</f>
        <v>3601</v>
      </c>
      <c r="AM23" s="804">
        <f t="shared" si="8"/>
        <v>3601</v>
      </c>
      <c r="AQ23" s="804">
        <f>I23/13</f>
        <v>277</v>
      </c>
      <c r="BC23" s="1105"/>
      <c r="BD23" s="1105"/>
      <c r="BE23" s="1105"/>
      <c r="BF23" s="1105"/>
      <c r="BG23" s="1105"/>
      <c r="BL23" s="975"/>
      <c r="BM23" s="975"/>
      <c r="BN23" s="975"/>
      <c r="BO23" s="975"/>
      <c r="BP23" s="975"/>
      <c r="BQ23" s="975"/>
      <c r="BT23" s="805">
        <f t="shared" si="1"/>
        <v>0</v>
      </c>
      <c r="BU23" s="805">
        <f t="shared" si="2"/>
        <v>0</v>
      </c>
      <c r="BV23" s="291">
        <f t="shared" si="3"/>
        <v>141061</v>
      </c>
      <c r="BW23" s="975"/>
      <c r="BX23" s="291">
        <f t="shared" si="4"/>
        <v>278939</v>
      </c>
      <c r="BY23" s="975"/>
      <c r="BZ23" s="975"/>
      <c r="CA23" s="975"/>
      <c r="CF23" s="1138"/>
      <c r="CG23" s="1138"/>
      <c r="CH23" s="1138"/>
      <c r="CI23" s="1138"/>
      <c r="CJ23" s="1138"/>
      <c r="CK23" s="1138"/>
      <c r="CL23" s="1138"/>
      <c r="CM23" s="1138"/>
      <c r="CN23" s="1138"/>
      <c r="CO23" s="1138"/>
      <c r="CP23" s="1138"/>
      <c r="CQ23" s="1138"/>
      <c r="CR23" s="1138"/>
      <c r="CS23" s="1138"/>
      <c r="CT23" s="1138"/>
      <c r="CU23" s="1138"/>
      <c r="CV23" s="1138"/>
      <c r="CW23" s="1138"/>
      <c r="CX23" s="1138"/>
      <c r="CY23" s="1138"/>
      <c r="CZ23" s="1138"/>
      <c r="DA23" s="1138"/>
    </row>
    <row r="24" s="804" customFormat="1" ht="31" hidden="1" customHeight="1" spans="1:105">
      <c r="A24" s="1104">
        <v>45894</v>
      </c>
      <c r="B24" s="959" t="s">
        <v>240</v>
      </c>
      <c r="C24" s="1105" t="s">
        <v>84</v>
      </c>
      <c r="D24" s="959">
        <v>4500177726</v>
      </c>
      <c r="E24" s="908">
        <v>4758</v>
      </c>
      <c r="F24" s="1107" t="s">
        <v>241</v>
      </c>
      <c r="G24" s="1106" t="s">
        <v>136</v>
      </c>
      <c r="H24" s="905" t="s">
        <v>137</v>
      </c>
      <c r="I24" s="905">
        <v>700</v>
      </c>
      <c r="J24" s="905">
        <v>0</v>
      </c>
      <c r="K24" s="905">
        <v>50</v>
      </c>
      <c r="L24" s="1114">
        <f t="shared" si="10"/>
        <v>14</v>
      </c>
      <c r="M24" s="928">
        <v>45930</v>
      </c>
      <c r="N24" s="928">
        <v>45926</v>
      </c>
      <c r="O24" s="908"/>
      <c r="P24" s="1116" t="s">
        <v>46</v>
      </c>
      <c r="Q24" s="908"/>
      <c r="R24" s="941">
        <v>45896</v>
      </c>
      <c r="S24" s="941" t="s">
        <v>58</v>
      </c>
      <c r="T24" s="941" t="s">
        <v>58</v>
      </c>
      <c r="U24" s="943" t="s">
        <v>242</v>
      </c>
      <c r="V24" s="1124" t="s">
        <v>243</v>
      </c>
      <c r="W24" s="1125">
        <v>1.41</v>
      </c>
      <c r="X24" s="1126">
        <f>W24*I24</f>
        <v>987</v>
      </c>
      <c r="Y24" s="908" t="s">
        <v>244</v>
      </c>
      <c r="Z24" s="908" t="s">
        <v>136</v>
      </c>
      <c r="AA24" s="905" t="s">
        <v>53</v>
      </c>
      <c r="AB24" s="905" t="s">
        <v>54</v>
      </c>
      <c r="AC24" s="908"/>
      <c r="AD24" s="1132">
        <v>700</v>
      </c>
      <c r="AE24" s="930">
        <f t="shared" si="6"/>
        <v>0</v>
      </c>
      <c r="AF24" s="1133"/>
      <c r="AG24" s="908" t="s">
        <v>58</v>
      </c>
      <c r="AH24" s="908"/>
      <c r="AI24" s="830">
        <f t="shared" si="9"/>
        <v>700</v>
      </c>
      <c r="AJ24" s="969">
        <f t="shared" ref="AJ24:AJ52" si="11">I24</f>
        <v>700</v>
      </c>
      <c r="AL24" s="969"/>
      <c r="AM24" s="969">
        <f t="shared" si="8"/>
        <v>700</v>
      </c>
      <c r="AO24" s="969"/>
      <c r="AR24" s="804">
        <f>L24*2</f>
        <v>28</v>
      </c>
      <c r="BC24" s="1105"/>
      <c r="BD24" s="1105"/>
      <c r="BE24" s="1105"/>
      <c r="BF24" s="1105"/>
      <c r="BG24" s="1105"/>
      <c r="BL24" s="975"/>
      <c r="BM24" s="975"/>
      <c r="BN24" s="975"/>
      <c r="BO24" s="975"/>
      <c r="BP24" s="975"/>
      <c r="BQ24" s="975"/>
      <c r="BT24" s="805">
        <f t="shared" si="1"/>
        <v>28</v>
      </c>
      <c r="BU24" s="805">
        <f t="shared" si="2"/>
        <v>0</v>
      </c>
      <c r="BV24" s="291">
        <f t="shared" si="3"/>
        <v>141761</v>
      </c>
      <c r="BW24" s="975"/>
      <c r="BX24" s="291">
        <f t="shared" si="4"/>
        <v>278239</v>
      </c>
      <c r="BY24" s="975"/>
      <c r="BZ24" s="975"/>
      <c r="CA24" s="975"/>
      <c r="CF24" s="1138"/>
      <c r="CG24" s="1138"/>
      <c r="CH24" s="1138"/>
      <c r="CI24" s="1138"/>
      <c r="CJ24" s="1138"/>
      <c r="CK24" s="1138"/>
      <c r="CL24" s="1138"/>
      <c r="CM24" s="1138"/>
      <c r="CN24" s="1138"/>
      <c r="CO24" s="1138"/>
      <c r="CP24" s="1138"/>
      <c r="CQ24" s="1138"/>
      <c r="CR24" s="1138"/>
      <c r="CS24" s="1138"/>
      <c r="CT24" s="1138"/>
      <c r="CU24" s="1138"/>
      <c r="CV24" s="1138"/>
      <c r="CW24" s="1138"/>
      <c r="CX24" s="1138"/>
      <c r="CY24" s="1138"/>
      <c r="CZ24" s="1138"/>
      <c r="DA24" s="1138"/>
    </row>
    <row r="25" s="804" customFormat="1" ht="31" hidden="1" customHeight="1" spans="1:105">
      <c r="A25" s="1104">
        <v>45888</v>
      </c>
      <c r="B25" s="959" t="s">
        <v>162</v>
      </c>
      <c r="C25" s="1105" t="s">
        <v>84</v>
      </c>
      <c r="D25" s="959">
        <v>4500177334</v>
      </c>
      <c r="E25" s="908" t="s">
        <v>245</v>
      </c>
      <c r="F25" s="1107" t="s">
        <v>246</v>
      </c>
      <c r="G25" s="1106" t="s">
        <v>187</v>
      </c>
      <c r="H25" s="905" t="s">
        <v>188</v>
      </c>
      <c r="I25" s="905">
        <v>21975</v>
      </c>
      <c r="J25" s="905">
        <v>0</v>
      </c>
      <c r="K25" s="905">
        <v>25</v>
      </c>
      <c r="L25" s="1114">
        <f t="shared" si="10"/>
        <v>879</v>
      </c>
      <c r="M25" s="928">
        <v>45930</v>
      </c>
      <c r="N25" s="928">
        <v>45926</v>
      </c>
      <c r="O25" s="908"/>
      <c r="P25" s="1116" t="s">
        <v>46</v>
      </c>
      <c r="Q25" s="908"/>
      <c r="R25" s="941">
        <v>45891</v>
      </c>
      <c r="S25" s="941" t="s">
        <v>48</v>
      </c>
      <c r="T25" s="941">
        <v>45891</v>
      </c>
      <c r="U25" s="943" t="s">
        <v>247</v>
      </c>
      <c r="V25" s="1124" t="s">
        <v>168</v>
      </c>
      <c r="W25" s="1125">
        <v>1.5848</v>
      </c>
      <c r="X25" s="1126">
        <f>I25*W25</f>
        <v>34825.98</v>
      </c>
      <c r="Y25" s="908" t="s">
        <v>248</v>
      </c>
      <c r="Z25" s="1106" t="s">
        <v>187</v>
      </c>
      <c r="AA25" s="905" t="s">
        <v>53</v>
      </c>
      <c r="AB25" s="905" t="s">
        <v>54</v>
      </c>
      <c r="AC25" s="908"/>
      <c r="AD25" s="1132">
        <v>21975</v>
      </c>
      <c r="AE25" s="1132">
        <f t="shared" si="6"/>
        <v>0</v>
      </c>
      <c r="AF25" s="1133"/>
      <c r="AG25" s="908" t="s">
        <v>55</v>
      </c>
      <c r="AH25" s="908"/>
      <c r="AI25" s="830">
        <f t="shared" si="9"/>
        <v>21975</v>
      </c>
      <c r="AJ25" s="969">
        <f t="shared" si="11"/>
        <v>21975</v>
      </c>
      <c r="AL25" s="969"/>
      <c r="AM25" s="804">
        <f t="shared" si="8"/>
        <v>21975</v>
      </c>
      <c r="AR25" s="804">
        <f>I25/25</f>
        <v>879</v>
      </c>
      <c r="BC25" s="1105"/>
      <c r="BD25" s="1105"/>
      <c r="BE25" s="1105"/>
      <c r="BF25" s="1105"/>
      <c r="BG25" s="1105"/>
      <c r="BL25" s="975"/>
      <c r="BM25" s="975"/>
      <c r="BN25" s="975"/>
      <c r="BO25" s="975"/>
      <c r="BP25" s="975"/>
      <c r="BQ25" s="975"/>
      <c r="BT25" s="805">
        <f t="shared" si="1"/>
        <v>879</v>
      </c>
      <c r="BU25" s="805">
        <f t="shared" si="2"/>
        <v>0</v>
      </c>
      <c r="BV25" s="291">
        <f t="shared" si="3"/>
        <v>163736</v>
      </c>
      <c r="BW25" s="975"/>
      <c r="BX25" s="291">
        <f t="shared" si="4"/>
        <v>256264</v>
      </c>
      <c r="BY25" s="975"/>
      <c r="BZ25" s="975"/>
      <c r="CA25" s="975"/>
      <c r="CF25" s="1138"/>
      <c r="CG25" s="1138"/>
      <c r="CH25" s="1138"/>
      <c r="CI25" s="1138"/>
      <c r="CJ25" s="1138"/>
      <c r="CK25" s="1138"/>
      <c r="CL25" s="1138"/>
      <c r="CM25" s="1138"/>
      <c r="CN25" s="1138"/>
      <c r="CO25" s="1138"/>
      <c r="CP25" s="1138"/>
      <c r="CQ25" s="1138"/>
      <c r="CR25" s="1138"/>
      <c r="CS25" s="1138"/>
      <c r="CT25" s="1138"/>
      <c r="CU25" s="1138"/>
      <c r="CV25" s="1138"/>
      <c r="CW25" s="1138"/>
      <c r="CX25" s="1138"/>
      <c r="CY25" s="1138"/>
      <c r="CZ25" s="1138"/>
      <c r="DA25" s="1138"/>
    </row>
    <row r="26" s="804" customFormat="1" ht="31" hidden="1" customHeight="1" spans="1:105">
      <c r="A26" s="1104">
        <v>45891</v>
      </c>
      <c r="B26" s="959" t="s">
        <v>199</v>
      </c>
      <c r="C26" s="1105" t="s">
        <v>84</v>
      </c>
      <c r="D26" s="959">
        <v>4500177643</v>
      </c>
      <c r="E26" s="1294" t="s">
        <v>249</v>
      </c>
      <c r="F26" s="959" t="s">
        <v>250</v>
      </c>
      <c r="G26" s="1106" t="s">
        <v>202</v>
      </c>
      <c r="H26" s="905" t="s">
        <v>203</v>
      </c>
      <c r="I26" s="905">
        <v>960</v>
      </c>
      <c r="J26" s="905">
        <v>0</v>
      </c>
      <c r="K26" s="905">
        <v>16</v>
      </c>
      <c r="L26" s="1114">
        <f t="shared" si="10"/>
        <v>60</v>
      </c>
      <c r="M26" s="928">
        <v>45938</v>
      </c>
      <c r="N26" s="928">
        <v>45934</v>
      </c>
      <c r="O26" s="908">
        <v>45943</v>
      </c>
      <c r="P26" s="1116" t="s">
        <v>46</v>
      </c>
      <c r="Q26" s="908"/>
      <c r="R26" s="941" t="s">
        <v>251</v>
      </c>
      <c r="S26" s="941" t="s">
        <v>58</v>
      </c>
      <c r="T26" s="941">
        <v>45902</v>
      </c>
      <c r="U26" s="943" t="s">
        <v>252</v>
      </c>
      <c r="V26" s="1124" t="s">
        <v>207</v>
      </c>
      <c r="W26" s="1125">
        <v>1.596</v>
      </c>
      <c r="X26" s="1126">
        <f t="shared" ref="X26:X36" si="12">W26*I26</f>
        <v>1532.16</v>
      </c>
      <c r="Y26" s="908" t="s">
        <v>253</v>
      </c>
      <c r="Z26" s="1106" t="s">
        <v>202</v>
      </c>
      <c r="AA26" s="905" t="s">
        <v>53</v>
      </c>
      <c r="AB26" s="905" t="s">
        <v>54</v>
      </c>
      <c r="AC26" s="908"/>
      <c r="AD26" s="1132">
        <v>960</v>
      </c>
      <c r="AE26" s="1132">
        <f t="shared" si="6"/>
        <v>0</v>
      </c>
      <c r="AF26" s="1133"/>
      <c r="AG26" s="908"/>
      <c r="AH26" s="908"/>
      <c r="AI26" s="830">
        <f t="shared" si="9"/>
        <v>960</v>
      </c>
      <c r="AJ26" s="969">
        <f t="shared" si="11"/>
        <v>960</v>
      </c>
      <c r="AL26" s="969"/>
      <c r="AM26" s="804">
        <f t="shared" si="8"/>
        <v>960</v>
      </c>
      <c r="AW26" s="804">
        <f>I26/16</f>
        <v>60</v>
      </c>
      <c r="BC26" s="1105"/>
      <c r="BD26" s="1105"/>
      <c r="BE26" s="1105"/>
      <c r="BF26" s="1105"/>
      <c r="BG26" s="1105"/>
      <c r="BL26" s="975"/>
      <c r="BM26" s="975"/>
      <c r="BN26" s="975"/>
      <c r="BO26" s="975"/>
      <c r="BP26" s="975"/>
      <c r="BQ26" s="975"/>
      <c r="BT26" s="805">
        <f t="shared" si="1"/>
        <v>60</v>
      </c>
      <c r="BU26" s="805">
        <f t="shared" si="2"/>
        <v>0</v>
      </c>
      <c r="BV26" s="291">
        <f t="shared" si="3"/>
        <v>164696</v>
      </c>
      <c r="BW26" s="975"/>
      <c r="BX26" s="291">
        <f t="shared" si="4"/>
        <v>255304</v>
      </c>
      <c r="BY26" s="975"/>
      <c r="BZ26" s="975"/>
      <c r="CA26" s="975"/>
      <c r="CF26" s="1138"/>
      <c r="CG26" s="1138"/>
      <c r="CH26" s="1138"/>
      <c r="CI26" s="1138"/>
      <c r="CJ26" s="1138"/>
      <c r="CK26" s="1138"/>
      <c r="CL26" s="1138"/>
      <c r="CM26" s="1138"/>
      <c r="CN26" s="1138"/>
      <c r="CO26" s="1138"/>
      <c r="CP26" s="1138"/>
      <c r="CQ26" s="1138"/>
      <c r="CR26" s="1138"/>
      <c r="CS26" s="1138"/>
      <c r="CT26" s="1138"/>
      <c r="CU26" s="1138"/>
      <c r="CV26" s="1138"/>
      <c r="CW26" s="1138"/>
      <c r="CX26" s="1138"/>
      <c r="CY26" s="1138"/>
      <c r="CZ26" s="1138"/>
      <c r="DA26" s="1138"/>
    </row>
    <row r="27" s="804" customFormat="1" ht="31" hidden="1" customHeight="1" spans="1:105">
      <c r="A27" s="1104">
        <v>45891</v>
      </c>
      <c r="B27" s="959" t="s">
        <v>199</v>
      </c>
      <c r="C27" s="1105" t="s">
        <v>84</v>
      </c>
      <c r="D27" s="959">
        <v>4500177643</v>
      </c>
      <c r="E27" s="1294" t="s">
        <v>254</v>
      </c>
      <c r="F27" s="959" t="s">
        <v>255</v>
      </c>
      <c r="G27" s="1106" t="s">
        <v>202</v>
      </c>
      <c r="H27" s="905" t="s">
        <v>203</v>
      </c>
      <c r="I27" s="905">
        <v>960</v>
      </c>
      <c r="J27" s="905">
        <v>0</v>
      </c>
      <c r="K27" s="905">
        <v>16</v>
      </c>
      <c r="L27" s="1114">
        <f t="shared" si="10"/>
        <v>60</v>
      </c>
      <c r="M27" s="928">
        <v>45938</v>
      </c>
      <c r="N27" s="928">
        <v>45934</v>
      </c>
      <c r="O27" s="908">
        <v>45943</v>
      </c>
      <c r="P27" s="1116" t="s">
        <v>46</v>
      </c>
      <c r="Q27" s="908"/>
      <c r="R27" s="941" t="s">
        <v>251</v>
      </c>
      <c r="S27" s="941" t="s">
        <v>58</v>
      </c>
      <c r="T27" s="941">
        <v>45902</v>
      </c>
      <c r="U27" s="943" t="s">
        <v>252</v>
      </c>
      <c r="V27" s="1124" t="s">
        <v>207</v>
      </c>
      <c r="W27" s="1125">
        <v>1.596</v>
      </c>
      <c r="X27" s="1126">
        <f t="shared" si="12"/>
        <v>1532.16</v>
      </c>
      <c r="Y27" s="908" t="s">
        <v>256</v>
      </c>
      <c r="Z27" s="1106" t="s">
        <v>202</v>
      </c>
      <c r="AA27" s="905" t="s">
        <v>53</v>
      </c>
      <c r="AB27" s="905" t="s">
        <v>54</v>
      </c>
      <c r="AC27" s="908"/>
      <c r="AD27" s="1132">
        <v>960</v>
      </c>
      <c r="AE27" s="1132">
        <f t="shared" si="6"/>
        <v>0</v>
      </c>
      <c r="AF27" s="1133"/>
      <c r="AG27" s="908"/>
      <c r="AH27" s="908"/>
      <c r="AI27" s="830">
        <f t="shared" si="9"/>
        <v>960</v>
      </c>
      <c r="AJ27" s="969">
        <f t="shared" si="11"/>
        <v>960</v>
      </c>
      <c r="AL27" s="969"/>
      <c r="AM27" s="804">
        <f t="shared" si="8"/>
        <v>960</v>
      </c>
      <c r="AW27" s="804">
        <f>I27/16</f>
        <v>60</v>
      </c>
      <c r="BC27" s="1105"/>
      <c r="BD27" s="1105"/>
      <c r="BE27" s="1105"/>
      <c r="BF27" s="1105"/>
      <c r="BG27" s="1105"/>
      <c r="BL27" s="975"/>
      <c r="BM27" s="975"/>
      <c r="BN27" s="975"/>
      <c r="BO27" s="975"/>
      <c r="BP27" s="975"/>
      <c r="BQ27" s="975"/>
      <c r="BT27" s="805">
        <f t="shared" si="1"/>
        <v>60</v>
      </c>
      <c r="BU27" s="805">
        <f t="shared" si="2"/>
        <v>0</v>
      </c>
      <c r="BV27" s="291">
        <f t="shared" si="3"/>
        <v>165656</v>
      </c>
      <c r="BW27" s="975"/>
      <c r="BX27" s="291">
        <f t="shared" si="4"/>
        <v>254344</v>
      </c>
      <c r="BY27" s="975"/>
      <c r="BZ27" s="975"/>
      <c r="CA27" s="975"/>
      <c r="CF27" s="1138"/>
      <c r="CG27" s="1138"/>
      <c r="CH27" s="1138"/>
      <c r="CI27" s="1138"/>
      <c r="CJ27" s="1138"/>
      <c r="CK27" s="1138"/>
      <c r="CL27" s="1138"/>
      <c r="CM27" s="1138"/>
      <c r="CN27" s="1138"/>
      <c r="CO27" s="1138"/>
      <c r="CP27" s="1138"/>
      <c r="CQ27" s="1138"/>
      <c r="CR27" s="1138"/>
      <c r="CS27" s="1138"/>
      <c r="CT27" s="1138"/>
      <c r="CU27" s="1138"/>
      <c r="CV27" s="1138"/>
      <c r="CW27" s="1138"/>
      <c r="CX27" s="1138"/>
      <c r="CY27" s="1138"/>
      <c r="CZ27" s="1138"/>
      <c r="DA27" s="1138"/>
    </row>
    <row r="28" s="804" customFormat="1" ht="31" hidden="1" customHeight="1" spans="1:105">
      <c r="A28" s="1104">
        <v>45891</v>
      </c>
      <c r="B28" s="959" t="s">
        <v>199</v>
      </c>
      <c r="C28" s="1105" t="s">
        <v>84</v>
      </c>
      <c r="D28" s="959">
        <v>4500177643</v>
      </c>
      <c r="E28" s="1294" t="s">
        <v>257</v>
      </c>
      <c r="F28" s="959" t="s">
        <v>258</v>
      </c>
      <c r="G28" s="1106" t="s">
        <v>202</v>
      </c>
      <c r="H28" s="905" t="s">
        <v>203</v>
      </c>
      <c r="I28" s="905">
        <v>960</v>
      </c>
      <c r="J28" s="905">
        <v>0</v>
      </c>
      <c r="K28" s="905">
        <v>16</v>
      </c>
      <c r="L28" s="1114">
        <f t="shared" si="10"/>
        <v>60</v>
      </c>
      <c r="M28" s="928">
        <v>45938</v>
      </c>
      <c r="N28" s="928">
        <v>45934</v>
      </c>
      <c r="O28" s="908">
        <v>45943</v>
      </c>
      <c r="P28" s="1116" t="s">
        <v>46</v>
      </c>
      <c r="Q28" s="908"/>
      <c r="R28" s="941" t="s">
        <v>251</v>
      </c>
      <c r="S28" s="941" t="s">
        <v>58</v>
      </c>
      <c r="T28" s="941">
        <v>45902</v>
      </c>
      <c r="U28" s="943" t="s">
        <v>252</v>
      </c>
      <c r="V28" s="1124" t="s">
        <v>207</v>
      </c>
      <c r="W28" s="1125">
        <v>1.596</v>
      </c>
      <c r="X28" s="1126">
        <f t="shared" si="12"/>
        <v>1532.16</v>
      </c>
      <c r="Y28" s="908" t="s">
        <v>259</v>
      </c>
      <c r="Z28" s="1106" t="s">
        <v>202</v>
      </c>
      <c r="AA28" s="905" t="s">
        <v>53</v>
      </c>
      <c r="AB28" s="905" t="s">
        <v>54</v>
      </c>
      <c r="AC28" s="908"/>
      <c r="AD28" s="1132">
        <v>960</v>
      </c>
      <c r="AE28" s="1132">
        <f t="shared" si="6"/>
        <v>0</v>
      </c>
      <c r="AF28" s="1133"/>
      <c r="AG28" s="908"/>
      <c r="AH28" s="908"/>
      <c r="AI28" s="830">
        <f t="shared" si="9"/>
        <v>960</v>
      </c>
      <c r="AJ28" s="969">
        <f t="shared" si="11"/>
        <v>960</v>
      </c>
      <c r="AL28" s="969"/>
      <c r="AM28" s="804">
        <f t="shared" si="8"/>
        <v>960</v>
      </c>
      <c r="AW28" s="804">
        <f>I28/16</f>
        <v>60</v>
      </c>
      <c r="BC28" s="1105"/>
      <c r="BD28" s="1105"/>
      <c r="BE28" s="1105"/>
      <c r="BF28" s="1105"/>
      <c r="BG28" s="1105"/>
      <c r="BL28" s="975"/>
      <c r="BM28" s="975"/>
      <c r="BN28" s="975"/>
      <c r="BO28" s="975"/>
      <c r="BP28" s="975"/>
      <c r="BQ28" s="975"/>
      <c r="BT28" s="805">
        <f t="shared" si="1"/>
        <v>60</v>
      </c>
      <c r="BU28" s="805">
        <f t="shared" si="2"/>
        <v>0</v>
      </c>
      <c r="BV28" s="291">
        <f t="shared" si="3"/>
        <v>166616</v>
      </c>
      <c r="BW28" s="975"/>
      <c r="BX28" s="291">
        <f t="shared" si="4"/>
        <v>253384</v>
      </c>
      <c r="BY28" s="975"/>
      <c r="BZ28" s="975"/>
      <c r="CA28" s="975"/>
      <c r="CF28" s="1138"/>
      <c r="CG28" s="1138"/>
      <c r="CH28" s="1138"/>
      <c r="CI28" s="1138"/>
      <c r="CJ28" s="1138"/>
      <c r="CK28" s="1138"/>
      <c r="CL28" s="1138"/>
      <c r="CM28" s="1138"/>
      <c r="CN28" s="1138"/>
      <c r="CO28" s="1138"/>
      <c r="CP28" s="1138"/>
      <c r="CQ28" s="1138"/>
      <c r="CR28" s="1138"/>
      <c r="CS28" s="1138"/>
      <c r="CT28" s="1138"/>
      <c r="CU28" s="1138"/>
      <c r="CV28" s="1138"/>
      <c r="CW28" s="1138"/>
      <c r="CX28" s="1138"/>
      <c r="CY28" s="1138"/>
      <c r="CZ28" s="1138"/>
      <c r="DA28" s="1138"/>
    </row>
    <row r="29" s="804" customFormat="1" ht="31" hidden="1" customHeight="1" spans="1:105">
      <c r="A29" s="1104">
        <v>45884</v>
      </c>
      <c r="B29" s="959" t="s">
        <v>199</v>
      </c>
      <c r="C29" s="1105" t="s">
        <v>84</v>
      </c>
      <c r="D29" s="959">
        <v>4500177088</v>
      </c>
      <c r="E29" s="1294" t="s">
        <v>260</v>
      </c>
      <c r="F29" s="1107" t="s">
        <v>261</v>
      </c>
      <c r="G29" s="1106" t="s">
        <v>202</v>
      </c>
      <c r="H29" s="905" t="s">
        <v>203</v>
      </c>
      <c r="I29" s="905">
        <v>11296</v>
      </c>
      <c r="J29" s="905">
        <v>0</v>
      </c>
      <c r="K29" s="905">
        <v>16</v>
      </c>
      <c r="L29" s="1114">
        <f t="shared" si="10"/>
        <v>706</v>
      </c>
      <c r="M29" s="928">
        <v>45938</v>
      </c>
      <c r="N29" s="928">
        <v>45934</v>
      </c>
      <c r="O29" s="908">
        <v>45943</v>
      </c>
      <c r="P29" s="1116" t="s">
        <v>46</v>
      </c>
      <c r="Q29" s="908"/>
      <c r="R29" s="941">
        <v>45884</v>
      </c>
      <c r="S29" s="941" t="s">
        <v>58</v>
      </c>
      <c r="T29" s="941">
        <v>45902</v>
      </c>
      <c r="U29" s="943" t="s">
        <v>262</v>
      </c>
      <c r="V29" s="1124" t="s">
        <v>207</v>
      </c>
      <c r="W29" s="1125">
        <v>1.596</v>
      </c>
      <c r="X29" s="1126">
        <f t="shared" si="12"/>
        <v>18028.416</v>
      </c>
      <c r="Y29" s="908" t="s">
        <v>263</v>
      </c>
      <c r="Z29" s="1106" t="s">
        <v>202</v>
      </c>
      <c r="AA29" s="905" t="s">
        <v>53</v>
      </c>
      <c r="AB29" s="905" t="s">
        <v>54</v>
      </c>
      <c r="AC29" s="908"/>
      <c r="AD29" s="1132">
        <v>11296</v>
      </c>
      <c r="AE29" s="1132">
        <f t="shared" si="6"/>
        <v>0</v>
      </c>
      <c r="AF29" s="1133"/>
      <c r="AG29" s="908"/>
      <c r="AH29" s="908"/>
      <c r="AI29" s="830">
        <f t="shared" si="9"/>
        <v>11296</v>
      </c>
      <c r="AJ29" s="969">
        <f t="shared" si="11"/>
        <v>11296</v>
      </c>
      <c r="AL29" s="969"/>
      <c r="AM29" s="804">
        <f t="shared" si="8"/>
        <v>11296</v>
      </c>
      <c r="AW29" s="804">
        <f>I29/16</f>
        <v>706</v>
      </c>
      <c r="BC29" s="1105"/>
      <c r="BD29" s="1105"/>
      <c r="BE29" s="1105"/>
      <c r="BF29" s="1105"/>
      <c r="BG29" s="1105"/>
      <c r="BL29" s="975"/>
      <c r="BM29" s="975"/>
      <c r="BN29" s="975"/>
      <c r="BO29" s="975"/>
      <c r="BP29" s="975"/>
      <c r="BQ29" s="975"/>
      <c r="BT29" s="805">
        <f t="shared" si="1"/>
        <v>706</v>
      </c>
      <c r="BU29" s="805">
        <f t="shared" si="2"/>
        <v>0</v>
      </c>
      <c r="BV29" s="291">
        <f t="shared" si="3"/>
        <v>177912</v>
      </c>
      <c r="BW29" s="975"/>
      <c r="BX29" s="291">
        <f t="shared" si="4"/>
        <v>242088</v>
      </c>
      <c r="BY29" s="975"/>
      <c r="BZ29" s="975"/>
      <c r="CA29" s="975"/>
      <c r="CF29" s="1138"/>
      <c r="CG29" s="1138"/>
      <c r="CH29" s="1138"/>
      <c r="CI29" s="1138"/>
      <c r="CJ29" s="1138"/>
      <c r="CK29" s="1138"/>
      <c r="CL29" s="1138"/>
      <c r="CM29" s="1138"/>
      <c r="CN29" s="1138"/>
      <c r="CO29" s="1138"/>
      <c r="CP29" s="1138"/>
      <c r="CQ29" s="1138"/>
      <c r="CR29" s="1138"/>
      <c r="CS29" s="1138"/>
      <c r="CT29" s="1138"/>
      <c r="CU29" s="1138"/>
      <c r="CV29" s="1138"/>
      <c r="CW29" s="1138"/>
      <c r="CX29" s="1138"/>
      <c r="CY29" s="1138"/>
      <c r="CZ29" s="1138"/>
      <c r="DA29" s="1138"/>
    </row>
    <row r="30" s="804" customFormat="1" ht="31" hidden="1" customHeight="1" spans="1:105">
      <c r="A30" s="1104">
        <v>45887</v>
      </c>
      <c r="B30" s="959" t="s">
        <v>157</v>
      </c>
      <c r="C30" s="1105" t="s">
        <v>158</v>
      </c>
      <c r="D30" s="959">
        <v>4500177240</v>
      </c>
      <c r="E30" s="908">
        <v>21105444</v>
      </c>
      <c r="F30" s="1107" t="s">
        <v>264</v>
      </c>
      <c r="G30" s="1106" t="s">
        <v>151</v>
      </c>
      <c r="H30" s="905" t="s">
        <v>152</v>
      </c>
      <c r="I30" s="905">
        <v>117</v>
      </c>
      <c r="J30" s="905">
        <v>0</v>
      </c>
      <c r="K30" s="905">
        <v>13</v>
      </c>
      <c r="L30" s="1114">
        <f t="shared" si="10"/>
        <v>9</v>
      </c>
      <c r="M30" s="928">
        <v>45939</v>
      </c>
      <c r="N30" s="928">
        <v>45936</v>
      </c>
      <c r="O30" s="908"/>
      <c r="P30" s="1116" t="s">
        <v>46</v>
      </c>
      <c r="Q30" s="908"/>
      <c r="R30" s="941">
        <v>45898</v>
      </c>
      <c r="S30" s="941" t="s">
        <v>48</v>
      </c>
      <c r="T30" s="941" t="s">
        <v>265</v>
      </c>
      <c r="U30" s="943" t="s">
        <v>160</v>
      </c>
      <c r="V30" s="1124" t="s">
        <v>154</v>
      </c>
      <c r="W30" s="1125">
        <v>2.4275</v>
      </c>
      <c r="X30" s="1126">
        <f t="shared" si="12"/>
        <v>284.0175</v>
      </c>
      <c r="Y30" s="908" t="s">
        <v>266</v>
      </c>
      <c r="Z30" s="1106" t="s">
        <v>151</v>
      </c>
      <c r="AA30" s="905" t="s">
        <v>53</v>
      </c>
      <c r="AB30" s="905" t="s">
        <v>54</v>
      </c>
      <c r="AC30" s="908"/>
      <c r="AD30" s="1132">
        <v>117</v>
      </c>
      <c r="AE30" s="1132">
        <f t="shared" si="6"/>
        <v>0</v>
      </c>
      <c r="AF30" s="1133"/>
      <c r="AG30" s="908"/>
      <c r="AH30" s="908"/>
      <c r="AI30" s="830">
        <f t="shared" si="9"/>
        <v>117</v>
      </c>
      <c r="AJ30" s="969">
        <f t="shared" si="11"/>
        <v>117</v>
      </c>
      <c r="AL30" s="969"/>
      <c r="AM30" s="804">
        <f t="shared" si="8"/>
        <v>117</v>
      </c>
      <c r="AP30" s="804">
        <f>I30/13</f>
        <v>9</v>
      </c>
      <c r="BC30" s="1105"/>
      <c r="BD30" s="1105"/>
      <c r="BE30" s="1105"/>
      <c r="BF30" s="1105"/>
      <c r="BG30" s="1105"/>
      <c r="BL30" s="975"/>
      <c r="BM30" s="975"/>
      <c r="BN30" s="975"/>
      <c r="BO30" s="975"/>
      <c r="BP30" s="975"/>
      <c r="BQ30" s="975"/>
      <c r="BT30" s="805">
        <f t="shared" si="1"/>
        <v>0</v>
      </c>
      <c r="BU30" s="805">
        <f t="shared" si="2"/>
        <v>0</v>
      </c>
      <c r="BV30" s="291">
        <f t="shared" si="3"/>
        <v>178029</v>
      </c>
      <c r="BW30" s="975"/>
      <c r="BX30" s="291">
        <f t="shared" si="4"/>
        <v>241971</v>
      </c>
      <c r="BY30" s="975"/>
      <c r="BZ30" s="975"/>
      <c r="CA30" s="975"/>
      <c r="CF30" s="1138"/>
      <c r="CG30" s="1138"/>
      <c r="CH30" s="1138"/>
      <c r="CI30" s="1138"/>
      <c r="CJ30" s="1138"/>
      <c r="CK30" s="1138"/>
      <c r="CL30" s="1138"/>
      <c r="CM30" s="1138"/>
      <c r="CN30" s="1138"/>
      <c r="CO30" s="1138"/>
      <c r="CP30" s="1138"/>
      <c r="CQ30" s="1138"/>
      <c r="CR30" s="1138"/>
      <c r="CS30" s="1138"/>
      <c r="CT30" s="1138"/>
      <c r="CU30" s="1138"/>
      <c r="CV30" s="1138"/>
      <c r="CW30" s="1138"/>
      <c r="CX30" s="1138"/>
      <c r="CY30" s="1138"/>
      <c r="CZ30" s="1138"/>
      <c r="DA30" s="1138"/>
    </row>
    <row r="31" s="804" customFormat="1" ht="31" hidden="1" customHeight="1" spans="1:105">
      <c r="A31" s="1104">
        <v>45887</v>
      </c>
      <c r="B31" s="959" t="s">
        <v>148</v>
      </c>
      <c r="C31" s="1105" t="s">
        <v>149</v>
      </c>
      <c r="D31" s="959">
        <v>4500177236</v>
      </c>
      <c r="E31" s="908">
        <v>21105443</v>
      </c>
      <c r="F31" s="1107" t="s">
        <v>267</v>
      </c>
      <c r="G31" s="1106" t="s">
        <v>151</v>
      </c>
      <c r="H31" s="905" t="s">
        <v>152</v>
      </c>
      <c r="I31" s="1118">
        <v>3900</v>
      </c>
      <c r="J31" s="905">
        <v>0</v>
      </c>
      <c r="K31" s="905">
        <v>13</v>
      </c>
      <c r="L31" s="1114">
        <f t="shared" si="10"/>
        <v>300</v>
      </c>
      <c r="M31" s="928">
        <v>45939</v>
      </c>
      <c r="N31" s="928">
        <v>45936</v>
      </c>
      <c r="O31" s="908"/>
      <c r="P31" s="1116" t="s">
        <v>46</v>
      </c>
      <c r="Q31" s="908"/>
      <c r="R31" s="941">
        <v>45898</v>
      </c>
      <c r="S31" s="941" t="s">
        <v>48</v>
      </c>
      <c r="T31" s="941" t="s">
        <v>265</v>
      </c>
      <c r="U31" s="943" t="s">
        <v>171</v>
      </c>
      <c r="V31" s="1124" t="s">
        <v>154</v>
      </c>
      <c r="W31" s="1125">
        <v>2.4275</v>
      </c>
      <c r="X31" s="1126">
        <f t="shared" si="12"/>
        <v>9467.25</v>
      </c>
      <c r="Y31" s="908" t="s">
        <v>268</v>
      </c>
      <c r="Z31" s="1106" t="s">
        <v>151</v>
      </c>
      <c r="AA31" s="905" t="s">
        <v>53</v>
      </c>
      <c r="AB31" s="905" t="s">
        <v>54</v>
      </c>
      <c r="AC31" s="908"/>
      <c r="AD31" s="1132">
        <v>3900</v>
      </c>
      <c r="AE31" s="1132">
        <f t="shared" si="6"/>
        <v>0</v>
      </c>
      <c r="AF31" s="1133"/>
      <c r="AG31" s="908"/>
      <c r="AH31" s="908"/>
      <c r="AI31" s="830">
        <f t="shared" si="9"/>
        <v>3900</v>
      </c>
      <c r="AJ31" s="969">
        <f t="shared" si="11"/>
        <v>3900</v>
      </c>
      <c r="AL31" s="969"/>
      <c r="AM31" s="804">
        <f t="shared" si="8"/>
        <v>3900</v>
      </c>
      <c r="AP31" s="804">
        <f>I31/13</f>
        <v>300</v>
      </c>
      <c r="BC31" s="1105"/>
      <c r="BD31" s="1105"/>
      <c r="BE31" s="1105"/>
      <c r="BF31" s="1105"/>
      <c r="BG31" s="1105"/>
      <c r="BL31" s="975"/>
      <c r="BM31" s="975"/>
      <c r="BN31" s="975"/>
      <c r="BO31" s="975"/>
      <c r="BP31" s="975"/>
      <c r="BQ31" s="975"/>
      <c r="BT31" s="805">
        <f t="shared" si="1"/>
        <v>0</v>
      </c>
      <c r="BU31" s="805">
        <f t="shared" si="2"/>
        <v>0</v>
      </c>
      <c r="BV31" s="291">
        <f t="shared" si="3"/>
        <v>181929</v>
      </c>
      <c r="BW31" s="975"/>
      <c r="BX31" s="291">
        <f t="shared" si="4"/>
        <v>238071</v>
      </c>
      <c r="BY31" s="975"/>
      <c r="BZ31" s="975"/>
      <c r="CA31" s="975"/>
      <c r="CF31" s="1138"/>
      <c r="CG31" s="1138"/>
      <c r="CH31" s="1138"/>
      <c r="CI31" s="1138"/>
      <c r="CJ31" s="1138"/>
      <c r="CK31" s="1138"/>
      <c r="CL31" s="1138"/>
      <c r="CM31" s="1138"/>
      <c r="CN31" s="1138"/>
      <c r="CO31" s="1138"/>
      <c r="CP31" s="1138"/>
      <c r="CQ31" s="1138"/>
      <c r="CR31" s="1138"/>
      <c r="CS31" s="1138"/>
      <c r="CT31" s="1138"/>
      <c r="CU31" s="1138"/>
      <c r="CV31" s="1138"/>
      <c r="CW31" s="1138"/>
      <c r="CX31" s="1138"/>
      <c r="CY31" s="1138"/>
      <c r="CZ31" s="1138"/>
      <c r="DA31" s="1138"/>
    </row>
    <row r="32" s="804" customFormat="1" ht="31" hidden="1" customHeight="1" spans="1:105">
      <c r="A32" s="1104">
        <v>45896</v>
      </c>
      <c r="B32" s="959" t="s">
        <v>157</v>
      </c>
      <c r="C32" s="1105" t="s">
        <v>158</v>
      </c>
      <c r="D32" s="959">
        <v>4500177974</v>
      </c>
      <c r="E32" s="908">
        <v>21105440</v>
      </c>
      <c r="F32" s="959" t="s">
        <v>269</v>
      </c>
      <c r="G32" s="1106" t="s">
        <v>151</v>
      </c>
      <c r="H32" s="905" t="s">
        <v>152</v>
      </c>
      <c r="I32" s="905">
        <v>143</v>
      </c>
      <c r="J32" s="905">
        <v>0</v>
      </c>
      <c r="K32" s="905">
        <v>13</v>
      </c>
      <c r="L32" s="1114">
        <f t="shared" si="10"/>
        <v>11</v>
      </c>
      <c r="M32" s="928">
        <v>45943</v>
      </c>
      <c r="N32" s="928">
        <v>45939</v>
      </c>
      <c r="O32" s="908"/>
      <c r="P32" s="1116" t="s">
        <v>46</v>
      </c>
      <c r="Q32" s="908"/>
      <c r="R32" s="941">
        <v>45911</v>
      </c>
      <c r="S32" s="941" t="s">
        <v>48</v>
      </c>
      <c r="T32" s="941">
        <v>45923</v>
      </c>
      <c r="U32" s="943" t="s">
        <v>176</v>
      </c>
      <c r="V32" s="1124" t="s">
        <v>154</v>
      </c>
      <c r="W32" s="1125">
        <v>2.4275</v>
      </c>
      <c r="X32" s="1126">
        <f t="shared" si="12"/>
        <v>347.1325</v>
      </c>
      <c r="Y32" s="908" t="s">
        <v>270</v>
      </c>
      <c r="Z32" s="1106" t="s">
        <v>151</v>
      </c>
      <c r="AA32" s="905" t="s">
        <v>53</v>
      </c>
      <c r="AB32" s="905" t="s">
        <v>54</v>
      </c>
      <c r="AC32" s="908"/>
      <c r="AD32" s="1132">
        <v>143</v>
      </c>
      <c r="AE32" s="1132">
        <f t="shared" si="6"/>
        <v>0</v>
      </c>
      <c r="AG32" s="908"/>
      <c r="AH32" s="908"/>
      <c r="AI32" s="830">
        <f t="shared" si="9"/>
        <v>143</v>
      </c>
      <c r="AJ32" s="969">
        <f t="shared" si="11"/>
        <v>143</v>
      </c>
      <c r="AL32" s="969"/>
      <c r="AM32" s="804">
        <f t="shared" si="8"/>
        <v>143</v>
      </c>
      <c r="AP32" s="804">
        <f>I32/13</f>
        <v>11</v>
      </c>
      <c r="BC32" s="1105"/>
      <c r="BD32" s="1105"/>
      <c r="BE32" s="1105"/>
      <c r="BF32" s="1105"/>
      <c r="BG32" s="1105"/>
      <c r="BL32" s="975"/>
      <c r="BM32" s="975"/>
      <c r="BN32" s="975"/>
      <c r="BO32" s="975"/>
      <c r="BP32" s="975"/>
      <c r="BQ32" s="975"/>
      <c r="BT32" s="805">
        <f t="shared" si="1"/>
        <v>0</v>
      </c>
      <c r="BU32" s="805">
        <f t="shared" si="2"/>
        <v>0</v>
      </c>
      <c r="BV32" s="291">
        <f t="shared" si="3"/>
        <v>182072</v>
      </c>
      <c r="BW32" s="975"/>
      <c r="BX32" s="291">
        <f t="shared" si="4"/>
        <v>237928</v>
      </c>
      <c r="BY32" s="975"/>
      <c r="BZ32" s="975"/>
      <c r="CA32" s="975"/>
      <c r="CF32" s="1138"/>
      <c r="CG32" s="1138"/>
      <c r="CH32" s="1138"/>
      <c r="CI32" s="1138"/>
      <c r="CJ32" s="1138"/>
      <c r="CK32" s="1138"/>
      <c r="CL32" s="1138"/>
      <c r="CM32" s="1138"/>
      <c r="CN32" s="1138"/>
      <c r="CO32" s="1138"/>
      <c r="CP32" s="1138"/>
      <c r="CQ32" s="1138"/>
      <c r="CR32" s="1138"/>
      <c r="CS32" s="1138"/>
      <c r="CT32" s="1138"/>
      <c r="CU32" s="1138"/>
      <c r="CV32" s="1138"/>
      <c r="CW32" s="1138"/>
      <c r="CX32" s="1138"/>
      <c r="CY32" s="1138"/>
      <c r="CZ32" s="1138"/>
      <c r="DA32" s="1138"/>
    </row>
    <row r="33" s="804" customFormat="1" ht="31" hidden="1" customHeight="1" spans="1:105">
      <c r="A33" s="1104">
        <v>45896</v>
      </c>
      <c r="B33" s="959" t="s">
        <v>148</v>
      </c>
      <c r="C33" s="1105" t="s">
        <v>149</v>
      </c>
      <c r="D33" s="959">
        <v>4500177972</v>
      </c>
      <c r="E33" s="908" t="s">
        <v>271</v>
      </c>
      <c r="F33" s="959" t="s">
        <v>272</v>
      </c>
      <c r="G33" s="1106" t="s">
        <v>151</v>
      </c>
      <c r="H33" s="905" t="s">
        <v>152</v>
      </c>
      <c r="I33" s="905">
        <v>2223</v>
      </c>
      <c r="J33" s="905">
        <v>0</v>
      </c>
      <c r="K33" s="905">
        <v>13</v>
      </c>
      <c r="L33" s="1114">
        <f t="shared" si="10"/>
        <v>171</v>
      </c>
      <c r="M33" s="928">
        <v>45943</v>
      </c>
      <c r="N33" s="928">
        <v>45939</v>
      </c>
      <c r="O33" s="908"/>
      <c r="P33" s="1116" t="s">
        <v>46</v>
      </c>
      <c r="Q33" s="908"/>
      <c r="R33" s="941">
        <v>45896</v>
      </c>
      <c r="S33" s="941" t="s">
        <v>48</v>
      </c>
      <c r="T33" s="941">
        <v>45912</v>
      </c>
      <c r="U33" s="943" t="s">
        <v>171</v>
      </c>
      <c r="V33" s="1124" t="s">
        <v>154</v>
      </c>
      <c r="W33" s="1125">
        <v>2.4275</v>
      </c>
      <c r="X33" s="1126">
        <f t="shared" si="12"/>
        <v>5396.3325</v>
      </c>
      <c r="Y33" s="908" t="s">
        <v>273</v>
      </c>
      <c r="Z33" s="1106" t="s">
        <v>151</v>
      </c>
      <c r="AA33" s="905" t="s">
        <v>53</v>
      </c>
      <c r="AB33" s="905" t="s">
        <v>54</v>
      </c>
      <c r="AC33" s="908"/>
      <c r="AD33" s="1132">
        <v>2223</v>
      </c>
      <c r="AE33" s="1132">
        <f t="shared" si="6"/>
        <v>0</v>
      </c>
      <c r="AF33" s="1135">
        <v>45938</v>
      </c>
      <c r="AG33" s="908"/>
      <c r="AH33" s="908"/>
      <c r="AI33" s="830">
        <f t="shared" si="9"/>
        <v>2223</v>
      </c>
      <c r="AJ33" s="969">
        <f t="shared" si="11"/>
        <v>2223</v>
      </c>
      <c r="AL33" s="969"/>
      <c r="AM33" s="804">
        <f t="shared" si="8"/>
        <v>2223</v>
      </c>
      <c r="AP33" s="804">
        <f>I33/13</f>
        <v>171</v>
      </c>
      <c r="BC33" s="1105"/>
      <c r="BD33" s="1105"/>
      <c r="BE33" s="1105"/>
      <c r="BF33" s="1105"/>
      <c r="BG33" s="1105"/>
      <c r="BL33" s="975"/>
      <c r="BM33" s="975"/>
      <c r="BN33" s="975"/>
      <c r="BO33" s="975"/>
      <c r="BP33" s="975"/>
      <c r="BQ33" s="975"/>
      <c r="BT33" s="805">
        <f t="shared" si="1"/>
        <v>0</v>
      </c>
      <c r="BU33" s="805">
        <f t="shared" si="2"/>
        <v>0</v>
      </c>
      <c r="BV33" s="291">
        <f t="shared" si="3"/>
        <v>184295</v>
      </c>
      <c r="BW33" s="975"/>
      <c r="BX33" s="975">
        <f t="shared" si="4"/>
        <v>235705</v>
      </c>
      <c r="BY33" s="975"/>
      <c r="BZ33" s="975"/>
      <c r="CA33" s="975"/>
      <c r="CF33" s="1138"/>
      <c r="CG33" s="1138"/>
      <c r="CH33" s="1138"/>
      <c r="CI33" s="1138"/>
      <c r="CJ33" s="1138"/>
      <c r="CK33" s="1138"/>
      <c r="CL33" s="1138"/>
      <c r="CM33" s="1138"/>
      <c r="CN33" s="1138"/>
      <c r="CO33" s="1138"/>
      <c r="CP33" s="1138"/>
      <c r="CQ33" s="1138"/>
      <c r="CR33" s="1138"/>
      <c r="CS33" s="1138"/>
      <c r="CT33" s="1138"/>
      <c r="CU33" s="1138"/>
      <c r="CV33" s="1138"/>
      <c r="CW33" s="1138"/>
      <c r="CX33" s="1138"/>
      <c r="CY33" s="1138"/>
      <c r="CZ33" s="1138"/>
      <c r="DA33" s="1138"/>
    </row>
    <row r="34" s="804" customFormat="1" ht="31" hidden="1" customHeight="1" spans="1:105">
      <c r="A34" s="1104">
        <v>45884</v>
      </c>
      <c r="B34" s="959" t="s">
        <v>199</v>
      </c>
      <c r="C34" s="1105" t="s">
        <v>84</v>
      </c>
      <c r="D34" s="959">
        <v>4500177091</v>
      </c>
      <c r="E34" s="1294" t="s">
        <v>274</v>
      </c>
      <c r="F34" s="959" t="s">
        <v>275</v>
      </c>
      <c r="G34" s="1106" t="s">
        <v>202</v>
      </c>
      <c r="H34" s="905" t="s">
        <v>203</v>
      </c>
      <c r="I34" s="905">
        <v>13728</v>
      </c>
      <c r="J34" s="905">
        <v>0</v>
      </c>
      <c r="K34" s="905">
        <v>16</v>
      </c>
      <c r="L34" s="1114">
        <f t="shared" si="10"/>
        <v>858</v>
      </c>
      <c r="M34" s="928">
        <v>45943</v>
      </c>
      <c r="N34" s="928">
        <v>45939</v>
      </c>
      <c r="O34" s="908">
        <v>45946</v>
      </c>
      <c r="P34" s="1116" t="s">
        <v>46</v>
      </c>
      <c r="Q34" s="908"/>
      <c r="R34" s="941">
        <v>45884</v>
      </c>
      <c r="S34" s="941" t="s">
        <v>58</v>
      </c>
      <c r="T34" s="941">
        <v>45902</v>
      </c>
      <c r="U34" s="943" t="s">
        <v>262</v>
      </c>
      <c r="V34" s="1124" t="s">
        <v>207</v>
      </c>
      <c r="W34" s="1125">
        <v>1.596</v>
      </c>
      <c r="X34" s="1126">
        <f t="shared" si="12"/>
        <v>21909.888</v>
      </c>
      <c r="Y34" s="908" t="s">
        <v>276</v>
      </c>
      <c r="Z34" s="1106" t="s">
        <v>202</v>
      </c>
      <c r="AA34" s="905" t="s">
        <v>53</v>
      </c>
      <c r="AB34" s="905" t="s">
        <v>54</v>
      </c>
      <c r="AC34" s="908"/>
      <c r="AD34" s="1132">
        <f>13056+672</f>
        <v>13728</v>
      </c>
      <c r="AE34" s="1132">
        <f t="shared" si="6"/>
        <v>0</v>
      </c>
      <c r="AF34" s="1135">
        <v>45944</v>
      </c>
      <c r="AG34" s="908"/>
      <c r="AH34" s="908"/>
      <c r="AI34" s="830">
        <f t="shared" si="9"/>
        <v>13728</v>
      </c>
      <c r="AJ34" s="969">
        <f t="shared" si="11"/>
        <v>13728</v>
      </c>
      <c r="AL34" s="969"/>
      <c r="AM34" s="804">
        <f t="shared" si="8"/>
        <v>13728</v>
      </c>
      <c r="AW34" s="804">
        <f>I34/16</f>
        <v>858</v>
      </c>
      <c r="BC34" s="1105"/>
      <c r="BD34" s="1105"/>
      <c r="BE34" s="1105"/>
      <c r="BF34" s="1105"/>
      <c r="BG34" s="1105"/>
      <c r="BL34" s="975"/>
      <c r="BM34" s="975"/>
      <c r="BN34" s="975"/>
      <c r="BO34" s="975"/>
      <c r="BP34" s="975"/>
      <c r="BQ34" s="975"/>
      <c r="BT34" s="805">
        <f t="shared" si="1"/>
        <v>858</v>
      </c>
      <c r="BU34" s="805">
        <f t="shared" si="2"/>
        <v>0</v>
      </c>
      <c r="BV34" s="291">
        <f t="shared" si="3"/>
        <v>198023</v>
      </c>
      <c r="BW34" s="975"/>
      <c r="BX34" s="975">
        <f t="shared" si="4"/>
        <v>221977</v>
      </c>
      <c r="BY34" s="975"/>
      <c r="BZ34" s="975"/>
      <c r="CA34" s="975"/>
      <c r="CF34" s="1138"/>
      <c r="CG34" s="1138"/>
      <c r="CH34" s="1138"/>
      <c r="CI34" s="1138"/>
      <c r="CJ34" s="1138"/>
      <c r="CK34" s="1138"/>
      <c r="CL34" s="1138"/>
      <c r="CM34" s="1138"/>
      <c r="CN34" s="1138"/>
      <c r="CO34" s="1138"/>
      <c r="CP34" s="1138"/>
      <c r="CQ34" s="1138"/>
      <c r="CR34" s="1138"/>
      <c r="CS34" s="1138"/>
      <c r="CT34" s="1138"/>
      <c r="CU34" s="1138"/>
      <c r="CV34" s="1138"/>
      <c r="CW34" s="1138"/>
      <c r="CX34" s="1138"/>
      <c r="CY34" s="1138"/>
      <c r="CZ34" s="1138"/>
      <c r="DA34" s="1138"/>
    </row>
    <row r="35" s="804" customFormat="1" ht="31" hidden="1" customHeight="1" spans="1:105">
      <c r="A35" s="1104">
        <v>45884</v>
      </c>
      <c r="B35" s="959" t="s">
        <v>199</v>
      </c>
      <c r="C35" s="1105" t="s">
        <v>84</v>
      </c>
      <c r="D35" s="959">
        <v>4500177091</v>
      </c>
      <c r="E35" s="1294" t="s">
        <v>277</v>
      </c>
      <c r="F35" s="959" t="s">
        <v>278</v>
      </c>
      <c r="G35" s="1106" t="s">
        <v>202</v>
      </c>
      <c r="H35" s="905" t="s">
        <v>203</v>
      </c>
      <c r="I35" s="905">
        <v>14368</v>
      </c>
      <c r="J35" s="905">
        <v>0</v>
      </c>
      <c r="K35" s="905">
        <v>16</v>
      </c>
      <c r="L35" s="1114">
        <f t="shared" si="10"/>
        <v>898</v>
      </c>
      <c r="M35" s="928">
        <v>45943</v>
      </c>
      <c r="N35" s="928">
        <v>45939</v>
      </c>
      <c r="O35" s="908">
        <v>45946</v>
      </c>
      <c r="P35" s="1116" t="s">
        <v>46</v>
      </c>
      <c r="Q35" s="908"/>
      <c r="R35" s="941">
        <v>45884</v>
      </c>
      <c r="S35" s="941" t="s">
        <v>58</v>
      </c>
      <c r="T35" s="941">
        <v>45902</v>
      </c>
      <c r="U35" s="943" t="s">
        <v>262</v>
      </c>
      <c r="V35" s="1124" t="s">
        <v>207</v>
      </c>
      <c r="W35" s="1125">
        <v>1.596</v>
      </c>
      <c r="X35" s="1126">
        <f t="shared" si="12"/>
        <v>22931.328</v>
      </c>
      <c r="Y35" s="908" t="s">
        <v>279</v>
      </c>
      <c r="Z35" s="1106" t="s">
        <v>202</v>
      </c>
      <c r="AA35" s="905" t="s">
        <v>53</v>
      </c>
      <c r="AB35" s="905" t="s">
        <v>54</v>
      </c>
      <c r="AC35" s="908"/>
      <c r="AD35" s="1132">
        <f>8160+6208</f>
        <v>14368</v>
      </c>
      <c r="AE35" s="1132">
        <f t="shared" si="6"/>
        <v>0</v>
      </c>
      <c r="AF35" s="1135">
        <v>45944</v>
      </c>
      <c r="AG35" s="908"/>
      <c r="AH35" s="908"/>
      <c r="AI35" s="830">
        <f t="shared" si="9"/>
        <v>14368</v>
      </c>
      <c r="AJ35" s="969">
        <f t="shared" si="11"/>
        <v>14368</v>
      </c>
      <c r="AL35" s="969"/>
      <c r="AM35" s="804">
        <f t="shared" si="8"/>
        <v>14368</v>
      </c>
      <c r="AW35" s="804">
        <f>I35/16</f>
        <v>898</v>
      </c>
      <c r="BC35" s="1105"/>
      <c r="BD35" s="1105"/>
      <c r="BE35" s="1105"/>
      <c r="BF35" s="1105"/>
      <c r="BG35" s="1105"/>
      <c r="BL35" s="975"/>
      <c r="BM35" s="975"/>
      <c r="BN35" s="975"/>
      <c r="BO35" s="975"/>
      <c r="BP35" s="975"/>
      <c r="BQ35" s="975"/>
      <c r="BT35" s="805">
        <f t="shared" ref="BT35:BT66" si="13">AR35+AS35+AW35</f>
        <v>898</v>
      </c>
      <c r="BU35" s="805">
        <f t="shared" ref="BU35:BU66" si="14">BD35+BE35+BG35</f>
        <v>0</v>
      </c>
      <c r="BV35" s="291">
        <f t="shared" si="3"/>
        <v>212391</v>
      </c>
      <c r="BW35" s="975"/>
      <c r="BX35" s="975">
        <f t="shared" si="4"/>
        <v>207609</v>
      </c>
      <c r="BY35" s="975"/>
      <c r="BZ35" s="975"/>
      <c r="CA35" s="975"/>
      <c r="CF35" s="1138"/>
      <c r="CG35" s="1138"/>
      <c r="CH35" s="1138"/>
      <c r="CI35" s="1138"/>
      <c r="CJ35" s="1138"/>
      <c r="CK35" s="1138"/>
      <c r="CL35" s="1138"/>
      <c r="CM35" s="1138"/>
      <c r="CN35" s="1138"/>
      <c r="CO35" s="1138"/>
      <c r="CP35" s="1138"/>
      <c r="CQ35" s="1138"/>
      <c r="CR35" s="1138"/>
      <c r="CS35" s="1138"/>
      <c r="CT35" s="1138"/>
      <c r="CU35" s="1138"/>
      <c r="CV35" s="1138"/>
      <c r="CW35" s="1138"/>
      <c r="CX35" s="1138"/>
      <c r="CY35" s="1138"/>
      <c r="CZ35" s="1138"/>
      <c r="DA35" s="1138"/>
    </row>
    <row r="36" s="804" customFormat="1" ht="31" hidden="1" customHeight="1" spans="1:105">
      <c r="A36" s="1104">
        <v>45891</v>
      </c>
      <c r="B36" s="959" t="s">
        <v>199</v>
      </c>
      <c r="C36" s="1105" t="s">
        <v>84</v>
      </c>
      <c r="D36" s="959">
        <v>4500177644</v>
      </c>
      <c r="E36" s="1294" t="s">
        <v>280</v>
      </c>
      <c r="F36" s="959" t="s">
        <v>281</v>
      </c>
      <c r="G36" s="1106" t="s">
        <v>202</v>
      </c>
      <c r="H36" s="905" t="s">
        <v>203</v>
      </c>
      <c r="I36" s="905">
        <v>960</v>
      </c>
      <c r="J36" s="905">
        <v>0</v>
      </c>
      <c r="K36" s="905">
        <v>16</v>
      </c>
      <c r="L36" s="1114">
        <f t="shared" si="10"/>
        <v>60</v>
      </c>
      <c r="M36" s="928">
        <v>45943</v>
      </c>
      <c r="N36" s="928">
        <v>45939</v>
      </c>
      <c r="O36" s="908">
        <v>45946</v>
      </c>
      <c r="P36" s="1116" t="s">
        <v>46</v>
      </c>
      <c r="Q36" s="908"/>
      <c r="R36" s="941" t="s">
        <v>251</v>
      </c>
      <c r="S36" s="941" t="s">
        <v>58</v>
      </c>
      <c r="T36" s="941">
        <v>45902</v>
      </c>
      <c r="U36" s="943" t="s">
        <v>252</v>
      </c>
      <c r="V36" s="1124" t="s">
        <v>207</v>
      </c>
      <c r="W36" s="1125">
        <v>1.596</v>
      </c>
      <c r="X36" s="1126">
        <f t="shared" si="12"/>
        <v>1532.16</v>
      </c>
      <c r="Y36" s="908" t="s">
        <v>282</v>
      </c>
      <c r="Z36" s="1106" t="s">
        <v>202</v>
      </c>
      <c r="AA36" s="905" t="s">
        <v>53</v>
      </c>
      <c r="AB36" s="905" t="s">
        <v>54</v>
      </c>
      <c r="AC36" s="908"/>
      <c r="AD36" s="1132">
        <v>960</v>
      </c>
      <c r="AE36" s="1132">
        <f t="shared" si="6"/>
        <v>0</v>
      </c>
      <c r="AF36" s="1135">
        <v>45944</v>
      </c>
      <c r="AG36" s="908"/>
      <c r="AH36" s="908"/>
      <c r="AI36" s="830">
        <f t="shared" si="9"/>
        <v>960</v>
      </c>
      <c r="AJ36" s="969">
        <f t="shared" si="11"/>
        <v>960</v>
      </c>
      <c r="AL36" s="969"/>
      <c r="AM36" s="804">
        <f t="shared" si="8"/>
        <v>960</v>
      </c>
      <c r="AW36" s="804">
        <f>I36/16</f>
        <v>60</v>
      </c>
      <c r="BC36" s="1105"/>
      <c r="BD36" s="1105"/>
      <c r="BE36" s="1105"/>
      <c r="BF36" s="1105"/>
      <c r="BG36" s="1105"/>
      <c r="BL36" s="975"/>
      <c r="BM36" s="975"/>
      <c r="BN36" s="975"/>
      <c r="BO36" s="975"/>
      <c r="BP36" s="975"/>
      <c r="BQ36" s="975"/>
      <c r="BT36" s="805">
        <f t="shared" si="13"/>
        <v>60</v>
      </c>
      <c r="BU36" s="805">
        <f t="shared" si="14"/>
        <v>0</v>
      </c>
      <c r="BV36" s="291">
        <f t="shared" si="3"/>
        <v>213351</v>
      </c>
      <c r="BW36" s="975"/>
      <c r="BX36" s="975">
        <f t="shared" si="4"/>
        <v>206649</v>
      </c>
      <c r="BY36" s="975"/>
      <c r="BZ36" s="975"/>
      <c r="CA36" s="975"/>
      <c r="CF36" s="1138"/>
      <c r="CG36" s="1138"/>
      <c r="CH36" s="1138"/>
      <c r="CI36" s="1138"/>
      <c r="CJ36" s="1138"/>
      <c r="CK36" s="1138"/>
      <c r="CL36" s="1138"/>
      <c r="CM36" s="1138"/>
      <c r="CN36" s="1138"/>
      <c r="CO36" s="1138"/>
      <c r="CP36" s="1138"/>
      <c r="CQ36" s="1138"/>
      <c r="CR36" s="1138"/>
      <c r="CS36" s="1138"/>
      <c r="CT36" s="1138"/>
      <c r="CU36" s="1138"/>
      <c r="CV36" s="1138"/>
      <c r="CW36" s="1138"/>
      <c r="CX36" s="1138"/>
      <c r="CY36" s="1138"/>
      <c r="CZ36" s="1138"/>
      <c r="DA36" s="1138"/>
    </row>
    <row r="37" s="804" customFormat="1" ht="31" hidden="1" customHeight="1" spans="1:105">
      <c r="A37" s="1104">
        <v>45898</v>
      </c>
      <c r="B37" s="959" t="s">
        <v>185</v>
      </c>
      <c r="C37" s="1105" t="s">
        <v>149</v>
      </c>
      <c r="D37" s="959">
        <v>4500178243</v>
      </c>
      <c r="E37" s="908">
        <v>84521</v>
      </c>
      <c r="F37" s="959" t="s">
        <v>283</v>
      </c>
      <c r="G37" s="1106" t="s">
        <v>187</v>
      </c>
      <c r="H37" s="905" t="s">
        <v>188</v>
      </c>
      <c r="I37" s="905">
        <v>2500</v>
      </c>
      <c r="J37" s="905">
        <v>0</v>
      </c>
      <c r="K37" s="905">
        <v>25</v>
      </c>
      <c r="L37" s="1114">
        <f t="shared" si="10"/>
        <v>100</v>
      </c>
      <c r="M37" s="928">
        <v>45944</v>
      </c>
      <c r="N37" s="928">
        <v>45940</v>
      </c>
      <c r="O37" s="908"/>
      <c r="P37" s="1116" t="s">
        <v>46</v>
      </c>
      <c r="Q37" s="908" t="s">
        <v>284</v>
      </c>
      <c r="R37" s="941">
        <v>45898</v>
      </c>
      <c r="S37" s="941" t="s">
        <v>58</v>
      </c>
      <c r="T37" s="941" t="s">
        <v>285</v>
      </c>
      <c r="U37" s="943" t="s">
        <v>286</v>
      </c>
      <c r="V37" s="1124" t="s">
        <v>183</v>
      </c>
      <c r="W37" s="1125">
        <v>2.66</v>
      </c>
      <c r="X37" s="1126">
        <f>I37*W37</f>
        <v>6650</v>
      </c>
      <c r="Y37" s="908" t="s">
        <v>287</v>
      </c>
      <c r="Z37" s="1106" t="s">
        <v>187</v>
      </c>
      <c r="AA37" s="905" t="s">
        <v>53</v>
      </c>
      <c r="AB37" s="905" t="s">
        <v>54</v>
      </c>
      <c r="AC37" s="908"/>
      <c r="AD37" s="1132">
        <v>2500</v>
      </c>
      <c r="AE37" s="1132">
        <f t="shared" si="6"/>
        <v>0</v>
      </c>
      <c r="AF37" s="1135">
        <v>45947</v>
      </c>
      <c r="AG37" s="908" t="s">
        <v>55</v>
      </c>
      <c r="AH37" s="908"/>
      <c r="AI37" s="830">
        <f t="shared" si="9"/>
        <v>2500</v>
      </c>
      <c r="AJ37" s="969">
        <f t="shared" si="11"/>
        <v>2500</v>
      </c>
      <c r="AL37" s="969"/>
      <c r="AM37" s="804">
        <f t="shared" si="8"/>
        <v>2500</v>
      </c>
      <c r="AR37" s="804">
        <f>I37/25</f>
        <v>100</v>
      </c>
      <c r="BC37" s="1105"/>
      <c r="BD37" s="1105"/>
      <c r="BE37" s="1105"/>
      <c r="BF37" s="1105"/>
      <c r="BG37" s="1105"/>
      <c r="BL37" s="975"/>
      <c r="BM37" s="975"/>
      <c r="BN37" s="975"/>
      <c r="BO37" s="975"/>
      <c r="BP37" s="975"/>
      <c r="BQ37" s="975"/>
      <c r="BT37" s="805">
        <f t="shared" si="13"/>
        <v>100</v>
      </c>
      <c r="BU37" s="805">
        <f t="shared" si="14"/>
        <v>0</v>
      </c>
      <c r="BV37" s="291">
        <f t="shared" si="3"/>
        <v>215851</v>
      </c>
      <c r="BW37" s="975"/>
      <c r="BX37" s="975">
        <f t="shared" si="4"/>
        <v>204149</v>
      </c>
      <c r="BY37" s="975"/>
      <c r="BZ37" s="975"/>
      <c r="CA37" s="975"/>
      <c r="CF37" s="1138"/>
      <c r="CG37" s="1138"/>
      <c r="CH37" s="1138"/>
      <c r="CI37" s="1138"/>
      <c r="CJ37" s="1138"/>
      <c r="CK37" s="1138"/>
      <c r="CL37" s="1138"/>
      <c r="CM37" s="1138"/>
      <c r="CN37" s="1138"/>
      <c r="CO37" s="1138"/>
      <c r="CP37" s="1138"/>
      <c r="CQ37" s="1138"/>
      <c r="CR37" s="1138"/>
      <c r="CS37" s="1138"/>
      <c r="CT37" s="1138"/>
      <c r="CU37" s="1138"/>
      <c r="CV37" s="1138"/>
      <c r="CW37" s="1138"/>
      <c r="CX37" s="1138"/>
      <c r="CY37" s="1138"/>
      <c r="CZ37" s="1138"/>
      <c r="DA37" s="1138"/>
    </row>
    <row r="38" s="804" customFormat="1" ht="31" hidden="1" customHeight="1" spans="1:105">
      <c r="A38" s="1104">
        <v>45888</v>
      </c>
      <c r="B38" s="959" t="s">
        <v>162</v>
      </c>
      <c r="C38" s="1105" t="s">
        <v>84</v>
      </c>
      <c r="D38" s="959">
        <v>4500177333</v>
      </c>
      <c r="E38" s="908" t="s">
        <v>288</v>
      </c>
      <c r="F38" s="1107" t="s">
        <v>289</v>
      </c>
      <c r="G38" s="1106" t="s">
        <v>187</v>
      </c>
      <c r="H38" s="905" t="s">
        <v>188</v>
      </c>
      <c r="I38" s="905">
        <v>30275</v>
      </c>
      <c r="J38" s="905">
        <v>0</v>
      </c>
      <c r="K38" s="905">
        <v>25</v>
      </c>
      <c r="L38" s="1114">
        <f t="shared" si="10"/>
        <v>1211</v>
      </c>
      <c r="M38" s="928">
        <v>45940</v>
      </c>
      <c r="N38" s="928">
        <v>45938</v>
      </c>
      <c r="O38" s="908"/>
      <c r="P38" s="1116" t="s">
        <v>46</v>
      </c>
      <c r="Q38" s="908" t="s">
        <v>290</v>
      </c>
      <c r="R38" s="941">
        <v>45891</v>
      </c>
      <c r="S38" s="941" t="s">
        <v>48</v>
      </c>
      <c r="T38" s="941">
        <v>45891</v>
      </c>
      <c r="U38" s="943" t="s">
        <v>247</v>
      </c>
      <c r="V38" s="1124" t="s">
        <v>168</v>
      </c>
      <c r="W38" s="1125">
        <v>1.5848</v>
      </c>
      <c r="X38" s="1126">
        <f>I38*W38</f>
        <v>47979.82</v>
      </c>
      <c r="Y38" s="908" t="s">
        <v>291</v>
      </c>
      <c r="Z38" s="1106" t="s">
        <v>187</v>
      </c>
      <c r="AA38" s="905" t="s">
        <v>53</v>
      </c>
      <c r="AB38" s="905" t="s">
        <v>54</v>
      </c>
      <c r="AC38" s="908"/>
      <c r="AD38" s="1132">
        <f>22500+7775</f>
        <v>30275</v>
      </c>
      <c r="AE38" s="1132">
        <f t="shared" si="6"/>
        <v>0</v>
      </c>
      <c r="AF38" s="1135">
        <v>45943</v>
      </c>
      <c r="AG38" s="908"/>
      <c r="AH38" s="908"/>
      <c r="AI38" s="830">
        <f t="shared" ref="AI38:AI57" si="15">I38</f>
        <v>30275</v>
      </c>
      <c r="AJ38" s="969">
        <f t="shared" si="11"/>
        <v>30275</v>
      </c>
      <c r="AL38" s="969"/>
      <c r="AM38" s="804">
        <f t="shared" si="8"/>
        <v>30275</v>
      </c>
      <c r="AR38" s="804">
        <f>I38/25</f>
        <v>1211</v>
      </c>
      <c r="BC38" s="1105"/>
      <c r="BD38" s="1105"/>
      <c r="BE38" s="1105"/>
      <c r="BF38" s="1105"/>
      <c r="BG38" s="1105"/>
      <c r="BL38" s="975"/>
      <c r="BM38" s="975"/>
      <c r="BN38" s="975"/>
      <c r="BO38" s="975"/>
      <c r="BP38" s="975"/>
      <c r="BQ38" s="975"/>
      <c r="BT38" s="805">
        <f t="shared" si="13"/>
        <v>1211</v>
      </c>
      <c r="BU38" s="805">
        <f t="shared" si="14"/>
        <v>0</v>
      </c>
      <c r="BV38" s="291">
        <f t="shared" si="3"/>
        <v>246126</v>
      </c>
      <c r="BW38" s="975"/>
      <c r="BX38" s="975">
        <f t="shared" si="4"/>
        <v>173874</v>
      </c>
      <c r="BY38" s="975"/>
      <c r="BZ38" s="975"/>
      <c r="CA38" s="975"/>
      <c r="CF38" s="1138"/>
      <c r="CG38" s="1138"/>
      <c r="CH38" s="1138"/>
      <c r="CI38" s="1138"/>
      <c r="CJ38" s="1138"/>
      <c r="CK38" s="1138"/>
      <c r="CL38" s="1138"/>
      <c r="CM38" s="1138"/>
      <c r="CN38" s="1138"/>
      <c r="CO38" s="1138"/>
      <c r="CP38" s="1138"/>
      <c r="CQ38" s="1138"/>
      <c r="CR38" s="1138"/>
      <c r="CS38" s="1138"/>
      <c r="CT38" s="1138"/>
      <c r="CU38" s="1138"/>
      <c r="CV38" s="1138"/>
      <c r="CW38" s="1138"/>
      <c r="CX38" s="1138"/>
      <c r="CY38" s="1138"/>
      <c r="CZ38" s="1138"/>
      <c r="DA38" s="1138"/>
    </row>
    <row r="39" s="804" customFormat="1" ht="31" hidden="1" customHeight="1" spans="1:105">
      <c r="A39" s="1104">
        <v>45896</v>
      </c>
      <c r="B39" s="959" t="s">
        <v>162</v>
      </c>
      <c r="C39" s="1105" t="s">
        <v>84</v>
      </c>
      <c r="D39" s="959">
        <v>4500177938</v>
      </c>
      <c r="E39" s="908" t="s">
        <v>292</v>
      </c>
      <c r="F39" s="959" t="s">
        <v>293</v>
      </c>
      <c r="G39" s="1106" t="s">
        <v>187</v>
      </c>
      <c r="H39" s="905" t="s">
        <v>188</v>
      </c>
      <c r="I39" s="905">
        <v>21600</v>
      </c>
      <c r="J39" s="905">
        <v>0</v>
      </c>
      <c r="K39" s="905">
        <v>25</v>
      </c>
      <c r="L39" s="1114">
        <f t="shared" si="10"/>
        <v>864</v>
      </c>
      <c r="M39" s="928">
        <v>45943</v>
      </c>
      <c r="N39" s="928">
        <v>45939</v>
      </c>
      <c r="O39" s="908"/>
      <c r="P39" s="1116" t="s">
        <v>46</v>
      </c>
      <c r="Q39" s="908" t="s">
        <v>294</v>
      </c>
      <c r="R39" s="941">
        <v>45904</v>
      </c>
      <c r="S39" s="941" t="s">
        <v>48</v>
      </c>
      <c r="T39" s="941">
        <v>45916</v>
      </c>
      <c r="U39" s="943" t="s">
        <v>295</v>
      </c>
      <c r="V39" s="1124" t="s">
        <v>168</v>
      </c>
      <c r="W39" s="1125">
        <v>1.5848</v>
      </c>
      <c r="X39" s="1126">
        <f>I39*W39</f>
        <v>34231.68</v>
      </c>
      <c r="Y39" s="908" t="s">
        <v>296</v>
      </c>
      <c r="Z39" s="1106" t="s">
        <v>187</v>
      </c>
      <c r="AA39" s="905" t="s">
        <v>53</v>
      </c>
      <c r="AB39" s="905" t="s">
        <v>54</v>
      </c>
      <c r="AC39" s="908"/>
      <c r="AD39" s="1132">
        <f>6750+14850</f>
        <v>21600</v>
      </c>
      <c r="AE39" s="1132">
        <f t="shared" si="6"/>
        <v>0</v>
      </c>
      <c r="AF39" s="1135">
        <v>45945</v>
      </c>
      <c r="AG39" s="908" t="s">
        <v>55</v>
      </c>
      <c r="AH39" s="908"/>
      <c r="AI39" s="830">
        <f t="shared" si="15"/>
        <v>21600</v>
      </c>
      <c r="AJ39" s="969">
        <f t="shared" si="11"/>
        <v>21600</v>
      </c>
      <c r="AL39" s="969"/>
      <c r="AM39" s="804">
        <f t="shared" si="8"/>
        <v>21600</v>
      </c>
      <c r="AR39" s="804">
        <f>I39/25</f>
        <v>864</v>
      </c>
      <c r="BC39" s="1105"/>
      <c r="BD39" s="1105"/>
      <c r="BE39" s="1105"/>
      <c r="BF39" s="1105"/>
      <c r="BG39" s="1105"/>
      <c r="BL39" s="975"/>
      <c r="BM39" s="975"/>
      <c r="BN39" s="975"/>
      <c r="BO39" s="975"/>
      <c r="BP39" s="975"/>
      <c r="BQ39" s="975"/>
      <c r="BT39" s="805">
        <f t="shared" si="13"/>
        <v>864</v>
      </c>
      <c r="BU39" s="805">
        <f t="shared" si="14"/>
        <v>0</v>
      </c>
      <c r="BV39" s="291">
        <f t="shared" si="3"/>
        <v>267726</v>
      </c>
      <c r="BW39" s="975"/>
      <c r="BX39" s="975">
        <f t="shared" si="4"/>
        <v>152274</v>
      </c>
      <c r="BY39" s="975"/>
      <c r="BZ39" s="975"/>
      <c r="CA39" s="975"/>
      <c r="CF39" s="1138"/>
      <c r="CG39" s="1138"/>
      <c r="CH39" s="1138"/>
      <c r="CI39" s="1138"/>
      <c r="CJ39" s="1138"/>
      <c r="CK39" s="1138"/>
      <c r="CL39" s="1138"/>
      <c r="CM39" s="1138"/>
      <c r="CN39" s="1138"/>
      <c r="CO39" s="1138"/>
      <c r="CP39" s="1138"/>
      <c r="CQ39" s="1138"/>
      <c r="CR39" s="1138"/>
      <c r="CS39" s="1138"/>
      <c r="CT39" s="1138"/>
      <c r="CU39" s="1138"/>
      <c r="CV39" s="1138"/>
      <c r="CW39" s="1138"/>
      <c r="CX39" s="1138"/>
      <c r="CY39" s="1138"/>
      <c r="CZ39" s="1138"/>
      <c r="DA39" s="1138"/>
    </row>
    <row r="40" s="804" customFormat="1" ht="32" hidden="1" customHeight="1" spans="1:88">
      <c r="A40" s="903">
        <v>45905</v>
      </c>
      <c r="B40" s="1108" t="s">
        <v>157</v>
      </c>
      <c r="C40" s="905" t="s">
        <v>158</v>
      </c>
      <c r="D40" s="906">
        <v>4500178926</v>
      </c>
      <c r="E40" s="904">
        <v>21105441</v>
      </c>
      <c r="F40" s="1109" t="s">
        <v>297</v>
      </c>
      <c r="G40" s="908" t="s">
        <v>151</v>
      </c>
      <c r="H40" s="905" t="s">
        <v>152</v>
      </c>
      <c r="I40" s="905">
        <v>169</v>
      </c>
      <c r="J40" s="905">
        <v>0</v>
      </c>
      <c r="K40" s="905">
        <v>13</v>
      </c>
      <c r="L40" s="1114">
        <f t="shared" si="10"/>
        <v>13</v>
      </c>
      <c r="M40" s="1117">
        <v>45946</v>
      </c>
      <c r="N40" s="1117">
        <v>45943</v>
      </c>
      <c r="O40" s="908"/>
      <c r="P40" s="1116" t="s">
        <v>46</v>
      </c>
      <c r="Q40" s="908" t="s">
        <v>298</v>
      </c>
      <c r="R40" s="941">
        <v>45905</v>
      </c>
      <c r="S40" s="941" t="s">
        <v>48</v>
      </c>
      <c r="T40" s="941" t="s">
        <v>265</v>
      </c>
      <c r="U40" s="943" t="s">
        <v>176</v>
      </c>
      <c r="V40" s="928" t="s">
        <v>154</v>
      </c>
      <c r="W40" s="1125">
        <v>2.4275</v>
      </c>
      <c r="X40" s="1126">
        <f>W40*I40</f>
        <v>410.2475</v>
      </c>
      <c r="Y40" s="908" t="s">
        <v>299</v>
      </c>
      <c r="Z40" s="1106" t="s">
        <v>151</v>
      </c>
      <c r="AA40" s="908" t="s">
        <v>53</v>
      </c>
      <c r="AB40" s="905" t="s">
        <v>54</v>
      </c>
      <c r="AC40" s="908"/>
      <c r="AD40" s="958">
        <v>169</v>
      </c>
      <c r="AE40" s="1132">
        <f t="shared" si="6"/>
        <v>0</v>
      </c>
      <c r="AF40" s="1135" t="s">
        <v>300</v>
      </c>
      <c r="AG40" s="908"/>
      <c r="AH40" s="908"/>
      <c r="AI40" s="830">
        <f t="shared" si="15"/>
        <v>169</v>
      </c>
      <c r="AJ40" s="969">
        <f t="shared" si="11"/>
        <v>169</v>
      </c>
      <c r="AK40" s="969"/>
      <c r="AM40" s="804">
        <f t="shared" si="8"/>
        <v>169</v>
      </c>
      <c r="AN40" s="908"/>
      <c r="AP40" s="804">
        <f>I40/13</f>
        <v>13</v>
      </c>
      <c r="AR40" s="908"/>
      <c r="AS40" s="908"/>
      <c r="AT40" s="908"/>
      <c r="AU40" s="908"/>
      <c r="BC40" s="1105"/>
      <c r="BD40" s="1140"/>
      <c r="BE40" s="1105"/>
      <c r="BF40" s="1105"/>
      <c r="BG40" s="1105"/>
      <c r="BT40" s="805">
        <f t="shared" si="13"/>
        <v>0</v>
      </c>
      <c r="BU40" s="805">
        <f t="shared" si="14"/>
        <v>0</v>
      </c>
      <c r="BV40" s="291">
        <f t="shared" si="3"/>
        <v>267895</v>
      </c>
      <c r="BW40" s="975"/>
      <c r="BX40" s="975">
        <f t="shared" si="4"/>
        <v>152105</v>
      </c>
      <c r="CA40" s="975"/>
      <c r="CE40" s="975"/>
      <c r="CF40" s="975"/>
      <c r="CG40" s="975"/>
      <c r="CH40" s="975"/>
      <c r="CI40" s="975"/>
      <c r="CJ40" s="975"/>
    </row>
    <row r="41" s="804" customFormat="1" ht="31" hidden="1" customHeight="1" spans="1:105">
      <c r="A41" s="1104">
        <v>45902</v>
      </c>
      <c r="B41" s="959" t="s">
        <v>162</v>
      </c>
      <c r="C41" s="1105" t="s">
        <v>84</v>
      </c>
      <c r="D41" s="959">
        <v>4500178501</v>
      </c>
      <c r="E41" s="908" t="s">
        <v>301</v>
      </c>
      <c r="F41" s="959" t="s">
        <v>302</v>
      </c>
      <c r="G41" s="1106" t="s">
        <v>187</v>
      </c>
      <c r="H41" s="905" t="s">
        <v>188</v>
      </c>
      <c r="I41" s="905">
        <v>59150</v>
      </c>
      <c r="J41" s="905">
        <v>0</v>
      </c>
      <c r="K41" s="905">
        <v>25</v>
      </c>
      <c r="L41" s="1114">
        <f t="shared" si="10"/>
        <v>2366</v>
      </c>
      <c r="M41" s="928">
        <v>45947</v>
      </c>
      <c r="N41" s="928">
        <v>45945</v>
      </c>
      <c r="O41" s="908"/>
      <c r="P41" s="1116" t="s">
        <v>46</v>
      </c>
      <c r="Q41" s="908" t="s">
        <v>303</v>
      </c>
      <c r="R41" s="941">
        <v>45909</v>
      </c>
      <c r="S41" s="941" t="s">
        <v>304</v>
      </c>
      <c r="T41" s="941">
        <v>45919</v>
      </c>
      <c r="U41" s="943" t="s">
        <v>305</v>
      </c>
      <c r="V41" s="1124" t="s">
        <v>168</v>
      </c>
      <c r="W41" s="1125">
        <v>1.5848</v>
      </c>
      <c r="X41" s="1126">
        <f>I41*W41</f>
        <v>93740.92</v>
      </c>
      <c r="Y41" s="908" t="s">
        <v>306</v>
      </c>
      <c r="Z41" s="1106" t="s">
        <v>187</v>
      </c>
      <c r="AA41" s="905" t="s">
        <v>53</v>
      </c>
      <c r="AB41" s="905" t="s">
        <v>54</v>
      </c>
      <c r="AC41" s="908"/>
      <c r="AD41" s="1132">
        <f>13500+45650</f>
        <v>59150</v>
      </c>
      <c r="AE41" s="1132">
        <f t="shared" si="6"/>
        <v>0</v>
      </c>
      <c r="AF41" s="1133"/>
      <c r="AG41" s="908" t="s">
        <v>55</v>
      </c>
      <c r="AH41" s="908"/>
      <c r="AI41" s="830">
        <f t="shared" si="15"/>
        <v>59150</v>
      </c>
      <c r="AJ41" s="969">
        <f t="shared" si="11"/>
        <v>59150</v>
      </c>
      <c r="AL41" s="969"/>
      <c r="AM41" s="804">
        <f t="shared" si="8"/>
        <v>59150</v>
      </c>
      <c r="AR41" s="804">
        <f>I41/25</f>
        <v>2366</v>
      </c>
      <c r="BC41" s="1105"/>
      <c r="BD41" s="1105"/>
      <c r="BE41" s="1105"/>
      <c r="BF41" s="1105"/>
      <c r="BG41" s="1105"/>
      <c r="BL41" s="975"/>
      <c r="BM41" s="975"/>
      <c r="BN41" s="975"/>
      <c r="BO41" s="975"/>
      <c r="BP41" s="975"/>
      <c r="BQ41" s="975"/>
      <c r="BT41" s="805">
        <f t="shared" si="13"/>
        <v>2366</v>
      </c>
      <c r="BU41" s="805">
        <f t="shared" si="14"/>
        <v>0</v>
      </c>
      <c r="BV41" s="291">
        <f t="shared" si="3"/>
        <v>327045</v>
      </c>
      <c r="BW41" s="975"/>
      <c r="BX41" s="975">
        <f t="shared" si="4"/>
        <v>92955</v>
      </c>
      <c r="BY41" s="975"/>
      <c r="BZ41" s="975"/>
      <c r="CA41" s="975"/>
      <c r="CF41" s="1138"/>
      <c r="CG41" s="1138"/>
      <c r="CH41" s="1138"/>
      <c r="CI41" s="1138"/>
      <c r="CJ41" s="1138"/>
      <c r="CK41" s="1138"/>
      <c r="CL41" s="1138"/>
      <c r="CM41" s="1138"/>
      <c r="CN41" s="1138"/>
      <c r="CO41" s="1138"/>
      <c r="CP41" s="1138"/>
      <c r="CQ41" s="1138"/>
      <c r="CR41" s="1138"/>
      <c r="CS41" s="1138"/>
      <c r="CT41" s="1138"/>
      <c r="CU41" s="1138"/>
      <c r="CV41" s="1138"/>
      <c r="CW41" s="1138"/>
      <c r="CX41" s="1138"/>
      <c r="CY41" s="1138"/>
      <c r="CZ41" s="1138"/>
      <c r="DA41" s="1138"/>
    </row>
    <row r="42" s="804" customFormat="1" ht="32" hidden="1" customHeight="1" spans="1:88">
      <c r="A42" s="903">
        <v>45905</v>
      </c>
      <c r="B42" s="1108" t="s">
        <v>148</v>
      </c>
      <c r="C42" s="905" t="s">
        <v>149</v>
      </c>
      <c r="D42" s="906">
        <v>4500178925</v>
      </c>
      <c r="E42" s="904">
        <v>21105438</v>
      </c>
      <c r="F42" s="1109" t="s">
        <v>307</v>
      </c>
      <c r="G42" s="908" t="s">
        <v>151</v>
      </c>
      <c r="H42" s="905" t="s">
        <v>152</v>
      </c>
      <c r="I42" s="905">
        <v>4550</v>
      </c>
      <c r="J42" s="905">
        <v>0</v>
      </c>
      <c r="K42" s="905">
        <v>13</v>
      </c>
      <c r="L42" s="1114">
        <f t="shared" si="10"/>
        <v>350</v>
      </c>
      <c r="M42" s="928">
        <v>45946</v>
      </c>
      <c r="N42" s="928">
        <v>45943</v>
      </c>
      <c r="O42" s="908"/>
      <c r="P42" s="1116" t="s">
        <v>46</v>
      </c>
      <c r="Q42" s="908" t="s">
        <v>298</v>
      </c>
      <c r="R42" s="941">
        <v>45905</v>
      </c>
      <c r="S42" s="941" t="s">
        <v>48</v>
      </c>
      <c r="T42" s="941" t="s">
        <v>265</v>
      </c>
      <c r="U42" s="943" t="s">
        <v>171</v>
      </c>
      <c r="V42" s="928" t="s">
        <v>154</v>
      </c>
      <c r="W42" s="1125">
        <v>2.4275</v>
      </c>
      <c r="X42" s="1126">
        <f>W42*I42</f>
        <v>11045.125</v>
      </c>
      <c r="Y42" s="908" t="s">
        <v>308</v>
      </c>
      <c r="Z42" s="1106" t="s">
        <v>151</v>
      </c>
      <c r="AA42" s="908" t="s">
        <v>53</v>
      </c>
      <c r="AB42" s="905" t="s">
        <v>54</v>
      </c>
      <c r="AC42" s="908"/>
      <c r="AD42" s="958">
        <v>4550</v>
      </c>
      <c r="AE42" s="1132">
        <f t="shared" si="6"/>
        <v>0</v>
      </c>
      <c r="AF42" s="1135" t="s">
        <v>300</v>
      </c>
      <c r="AG42" s="908"/>
      <c r="AH42" s="908"/>
      <c r="AI42" s="830">
        <f t="shared" si="15"/>
        <v>4550</v>
      </c>
      <c r="AJ42" s="969">
        <f t="shared" si="11"/>
        <v>4550</v>
      </c>
      <c r="AK42" s="969"/>
      <c r="AM42" s="804">
        <f t="shared" si="8"/>
        <v>4550</v>
      </c>
      <c r="AN42" s="908"/>
      <c r="AP42" s="804">
        <f>I42/13</f>
        <v>350</v>
      </c>
      <c r="AR42" s="908"/>
      <c r="AS42" s="908"/>
      <c r="AT42" s="908"/>
      <c r="AU42" s="908"/>
      <c r="BC42" s="1105"/>
      <c r="BD42" s="1140"/>
      <c r="BE42" s="1105"/>
      <c r="BF42" s="1105"/>
      <c r="BG42" s="1105"/>
      <c r="BT42" s="805">
        <f t="shared" si="13"/>
        <v>0</v>
      </c>
      <c r="BU42" s="805">
        <f t="shared" si="14"/>
        <v>0</v>
      </c>
      <c r="BV42" s="291">
        <f t="shared" si="3"/>
        <v>331595</v>
      </c>
      <c r="BW42" s="975"/>
      <c r="BX42" s="975">
        <f t="shared" si="4"/>
        <v>88405</v>
      </c>
      <c r="CA42" s="975"/>
      <c r="CE42" s="975"/>
      <c r="CF42" s="975"/>
      <c r="CG42" s="975"/>
      <c r="CH42" s="975"/>
      <c r="CI42" s="975"/>
      <c r="CJ42" s="975"/>
    </row>
    <row r="43" s="804" customFormat="1" ht="31" hidden="1" customHeight="1" spans="1:105">
      <c r="A43" s="1104">
        <v>45884</v>
      </c>
      <c r="B43" s="959" t="s">
        <v>199</v>
      </c>
      <c r="C43" s="1105" t="s">
        <v>84</v>
      </c>
      <c r="D43" s="959">
        <v>4500177093</v>
      </c>
      <c r="E43" s="1294" t="s">
        <v>309</v>
      </c>
      <c r="F43" s="959" t="s">
        <v>310</v>
      </c>
      <c r="G43" s="1106" t="s">
        <v>202</v>
      </c>
      <c r="H43" s="905" t="s">
        <v>203</v>
      </c>
      <c r="I43" s="905">
        <v>16544</v>
      </c>
      <c r="J43" s="905">
        <v>0</v>
      </c>
      <c r="K43" s="905">
        <v>16</v>
      </c>
      <c r="L43" s="1114">
        <f t="shared" si="10"/>
        <v>1034</v>
      </c>
      <c r="M43" s="928">
        <v>45946</v>
      </c>
      <c r="N43" s="928">
        <v>45943</v>
      </c>
      <c r="O43" s="908" t="s">
        <v>311</v>
      </c>
      <c r="P43" s="1116" t="s">
        <v>46</v>
      </c>
      <c r="Q43" s="908"/>
      <c r="R43" s="941">
        <v>45884</v>
      </c>
      <c r="S43" s="941" t="s">
        <v>58</v>
      </c>
      <c r="T43" s="941">
        <v>45902</v>
      </c>
      <c r="U43" s="943" t="s">
        <v>262</v>
      </c>
      <c r="V43" s="1124" t="s">
        <v>207</v>
      </c>
      <c r="W43" s="1125">
        <v>1.596</v>
      </c>
      <c r="X43" s="1126">
        <f>W43*I43</f>
        <v>26404.224</v>
      </c>
      <c r="Y43" s="908" t="s">
        <v>312</v>
      </c>
      <c r="Z43" s="1106" t="s">
        <v>202</v>
      </c>
      <c r="AA43" s="905" t="s">
        <v>53</v>
      </c>
      <c r="AB43" s="905" t="s">
        <v>54</v>
      </c>
      <c r="AC43" s="908"/>
      <c r="AD43" s="1132">
        <v>16544</v>
      </c>
      <c r="AE43" s="1132">
        <f t="shared" si="6"/>
        <v>0</v>
      </c>
      <c r="AF43" s="1135">
        <v>45947</v>
      </c>
      <c r="AG43" s="908"/>
      <c r="AH43" s="908"/>
      <c r="AI43" s="830">
        <f t="shared" si="15"/>
        <v>16544</v>
      </c>
      <c r="AJ43" s="969">
        <f t="shared" si="11"/>
        <v>16544</v>
      </c>
      <c r="AL43" s="969"/>
      <c r="AM43" s="804">
        <f t="shared" si="8"/>
        <v>16544</v>
      </c>
      <c r="AW43" s="804">
        <f>I43/16</f>
        <v>1034</v>
      </c>
      <c r="BC43" s="1105"/>
      <c r="BD43" s="1105"/>
      <c r="BE43" s="1105"/>
      <c r="BF43" s="1105"/>
      <c r="BG43" s="1105"/>
      <c r="BL43" s="975"/>
      <c r="BM43" s="975"/>
      <c r="BN43" s="975"/>
      <c r="BO43" s="975"/>
      <c r="BP43" s="975"/>
      <c r="BQ43" s="975"/>
      <c r="BT43" s="805">
        <f t="shared" si="13"/>
        <v>1034</v>
      </c>
      <c r="BU43" s="805">
        <f t="shared" si="14"/>
        <v>0</v>
      </c>
      <c r="BV43" s="291">
        <f t="shared" si="3"/>
        <v>348139</v>
      </c>
      <c r="BW43" s="975"/>
      <c r="BX43" s="975">
        <f t="shared" si="4"/>
        <v>71861</v>
      </c>
      <c r="BY43" s="975"/>
      <c r="BZ43" s="975"/>
      <c r="CA43" s="975"/>
      <c r="CF43" s="1138"/>
      <c r="CG43" s="1138"/>
      <c r="CH43" s="1138"/>
      <c r="CI43" s="1138"/>
      <c r="CJ43" s="1138"/>
      <c r="CK43" s="1138"/>
      <c r="CL43" s="1138"/>
      <c r="CM43" s="1138"/>
      <c r="CN43" s="1138"/>
      <c r="CO43" s="1138"/>
      <c r="CP43" s="1138"/>
      <c r="CQ43" s="1138"/>
      <c r="CR43" s="1138"/>
      <c r="CS43" s="1138"/>
      <c r="CT43" s="1138"/>
      <c r="CU43" s="1138"/>
      <c r="CV43" s="1138"/>
      <c r="CW43" s="1138"/>
      <c r="CX43" s="1138"/>
      <c r="CY43" s="1138"/>
      <c r="CZ43" s="1138"/>
      <c r="DA43" s="1138"/>
    </row>
    <row r="44" s="804" customFormat="1" ht="31" hidden="1" customHeight="1" spans="1:105">
      <c r="A44" s="1104">
        <v>45884</v>
      </c>
      <c r="B44" s="959" t="s">
        <v>199</v>
      </c>
      <c r="C44" s="1105" t="s">
        <v>84</v>
      </c>
      <c r="D44" s="959">
        <v>4500177093</v>
      </c>
      <c r="E44" s="1294" t="s">
        <v>313</v>
      </c>
      <c r="F44" s="959" t="s">
        <v>314</v>
      </c>
      <c r="G44" s="1106" t="s">
        <v>202</v>
      </c>
      <c r="H44" s="905" t="s">
        <v>203</v>
      </c>
      <c r="I44" s="905">
        <v>20480</v>
      </c>
      <c r="J44" s="905">
        <v>0</v>
      </c>
      <c r="K44" s="905">
        <v>16</v>
      </c>
      <c r="L44" s="1114">
        <f t="shared" si="10"/>
        <v>1280</v>
      </c>
      <c r="M44" s="928">
        <v>45946</v>
      </c>
      <c r="N44" s="928">
        <v>45943</v>
      </c>
      <c r="O44" s="908" t="s">
        <v>311</v>
      </c>
      <c r="P44" s="1116" t="s">
        <v>46</v>
      </c>
      <c r="Q44" s="908"/>
      <c r="R44" s="941">
        <v>45884</v>
      </c>
      <c r="S44" s="941" t="s">
        <v>58</v>
      </c>
      <c r="T44" s="941">
        <v>45902</v>
      </c>
      <c r="U44" s="943" t="s">
        <v>262</v>
      </c>
      <c r="V44" s="1124" t="s">
        <v>207</v>
      </c>
      <c r="W44" s="1125">
        <v>1.596</v>
      </c>
      <c r="X44" s="1126">
        <f>W44*I44</f>
        <v>32686.08</v>
      </c>
      <c r="Y44" s="908" t="s">
        <v>315</v>
      </c>
      <c r="Z44" s="1106" t="s">
        <v>202</v>
      </c>
      <c r="AA44" s="905" t="s">
        <v>53</v>
      </c>
      <c r="AB44" s="905" t="s">
        <v>54</v>
      </c>
      <c r="AC44" s="908"/>
      <c r="AD44" s="1132">
        <f>16640+3840</f>
        <v>20480</v>
      </c>
      <c r="AE44" s="1132">
        <f t="shared" si="6"/>
        <v>0</v>
      </c>
      <c r="AF44" s="1135" t="s">
        <v>300</v>
      </c>
      <c r="AG44" s="908"/>
      <c r="AH44" s="908"/>
      <c r="AI44" s="830">
        <f t="shared" si="15"/>
        <v>20480</v>
      </c>
      <c r="AJ44" s="969">
        <f t="shared" si="11"/>
        <v>20480</v>
      </c>
      <c r="AL44" s="969"/>
      <c r="AM44" s="804">
        <f t="shared" si="8"/>
        <v>20480</v>
      </c>
      <c r="AW44" s="804">
        <f>I44/16</f>
        <v>1280</v>
      </c>
      <c r="BC44" s="1105"/>
      <c r="BD44" s="1105"/>
      <c r="BE44" s="1105"/>
      <c r="BF44" s="1105"/>
      <c r="BG44" s="1105"/>
      <c r="BL44" s="975"/>
      <c r="BM44" s="975"/>
      <c r="BN44" s="975"/>
      <c r="BO44" s="975"/>
      <c r="BP44" s="975"/>
      <c r="BQ44" s="975"/>
      <c r="BT44" s="805">
        <f t="shared" si="13"/>
        <v>1280</v>
      </c>
      <c r="BU44" s="805">
        <f t="shared" si="14"/>
        <v>0</v>
      </c>
      <c r="BV44" s="291">
        <f t="shared" si="3"/>
        <v>368619</v>
      </c>
      <c r="BW44" s="975"/>
      <c r="BX44" s="975">
        <f t="shared" si="4"/>
        <v>51381</v>
      </c>
      <c r="BY44" s="975"/>
      <c r="BZ44" s="975"/>
      <c r="CA44" s="975"/>
      <c r="CF44" s="1138"/>
      <c r="CG44" s="1138"/>
      <c r="CH44" s="1138"/>
      <c r="CI44" s="1138"/>
      <c r="CJ44" s="1138"/>
      <c r="CK44" s="1138"/>
      <c r="CL44" s="1138"/>
      <c r="CM44" s="1138"/>
      <c r="CN44" s="1138"/>
      <c r="CO44" s="1138"/>
      <c r="CP44" s="1138"/>
      <c r="CQ44" s="1138"/>
      <c r="CR44" s="1138"/>
      <c r="CS44" s="1138"/>
      <c r="CT44" s="1138"/>
      <c r="CU44" s="1138"/>
      <c r="CV44" s="1138"/>
      <c r="CW44" s="1138"/>
      <c r="CX44" s="1138"/>
      <c r="CY44" s="1138"/>
      <c r="CZ44" s="1138"/>
      <c r="DA44" s="1138"/>
    </row>
    <row r="45" s="804" customFormat="1" ht="32" hidden="1" customHeight="1" spans="1:88">
      <c r="A45" s="903">
        <v>45897</v>
      </c>
      <c r="B45" s="1108" t="s">
        <v>199</v>
      </c>
      <c r="C45" s="905" t="s">
        <v>84</v>
      </c>
      <c r="D45" s="906">
        <v>4500178134</v>
      </c>
      <c r="E45" s="1295" t="s">
        <v>316</v>
      </c>
      <c r="F45" s="906" t="s">
        <v>317</v>
      </c>
      <c r="G45" s="908" t="s">
        <v>202</v>
      </c>
      <c r="H45" s="905" t="s">
        <v>203</v>
      </c>
      <c r="I45" s="905">
        <v>960</v>
      </c>
      <c r="J45" s="905">
        <v>0</v>
      </c>
      <c r="K45" s="905">
        <v>16</v>
      </c>
      <c r="L45" s="1114">
        <f t="shared" si="10"/>
        <v>60</v>
      </c>
      <c r="M45" s="928">
        <v>45951</v>
      </c>
      <c r="N45" s="928">
        <v>45947</v>
      </c>
      <c r="O45" s="908" t="s">
        <v>318</v>
      </c>
      <c r="P45" s="1116" t="s">
        <v>46</v>
      </c>
      <c r="Q45" s="908"/>
      <c r="R45" s="941" t="s">
        <v>251</v>
      </c>
      <c r="S45" s="941" t="s">
        <v>58</v>
      </c>
      <c r="T45" s="941">
        <v>45908</v>
      </c>
      <c r="U45" s="943" t="s">
        <v>252</v>
      </c>
      <c r="V45" s="928" t="s">
        <v>207</v>
      </c>
      <c r="W45" s="1125">
        <v>1.596</v>
      </c>
      <c r="X45" s="1126">
        <f>W45*I45</f>
        <v>1532.16</v>
      </c>
      <c r="Y45" s="908" t="s">
        <v>319</v>
      </c>
      <c r="Z45" s="1106" t="s">
        <v>202</v>
      </c>
      <c r="AA45" s="905" t="s">
        <v>53</v>
      </c>
      <c r="AB45" s="905" t="s">
        <v>54</v>
      </c>
      <c r="AC45" s="908"/>
      <c r="AD45" s="958">
        <v>960</v>
      </c>
      <c r="AE45" s="1132">
        <f t="shared" si="6"/>
        <v>0</v>
      </c>
      <c r="AF45" s="1133"/>
      <c r="AG45" s="908"/>
      <c r="AH45" s="908"/>
      <c r="AI45" s="830">
        <f t="shared" si="15"/>
        <v>960</v>
      </c>
      <c r="AJ45" s="969">
        <f t="shared" si="11"/>
        <v>960</v>
      </c>
      <c r="AK45" s="969"/>
      <c r="AM45" s="804">
        <f t="shared" si="8"/>
        <v>960</v>
      </c>
      <c r="AN45" s="908"/>
      <c r="AR45" s="908"/>
      <c r="AS45" s="908"/>
      <c r="AT45" s="908"/>
      <c r="AU45" s="908"/>
      <c r="AW45" s="804">
        <f>I45/16</f>
        <v>60</v>
      </c>
      <c r="BC45" s="1105"/>
      <c r="BD45" s="1140"/>
      <c r="BE45" s="1105"/>
      <c r="BF45" s="1105"/>
      <c r="BG45" s="1105"/>
      <c r="BT45" s="805">
        <f t="shared" si="13"/>
        <v>60</v>
      </c>
      <c r="BU45" s="805">
        <f t="shared" si="14"/>
        <v>0</v>
      </c>
      <c r="BV45" s="291">
        <f t="shared" si="3"/>
        <v>369579</v>
      </c>
      <c r="BW45" s="975"/>
      <c r="BX45" s="975">
        <f t="shared" si="4"/>
        <v>50421</v>
      </c>
      <c r="CA45" s="975"/>
      <c r="CE45" s="975"/>
      <c r="CF45" s="975"/>
      <c r="CG45" s="975"/>
      <c r="CH45" s="975"/>
      <c r="CI45" s="975"/>
      <c r="CJ45" s="975"/>
    </row>
    <row r="46" s="804" customFormat="1" ht="32" hidden="1" customHeight="1" spans="1:88">
      <c r="A46" s="903">
        <v>45897</v>
      </c>
      <c r="B46" s="1108" t="s">
        <v>199</v>
      </c>
      <c r="C46" s="905" t="s">
        <v>84</v>
      </c>
      <c r="D46" s="906">
        <v>4500178134</v>
      </c>
      <c r="E46" s="1295" t="s">
        <v>320</v>
      </c>
      <c r="F46" s="906" t="s">
        <v>321</v>
      </c>
      <c r="G46" s="908" t="s">
        <v>202</v>
      </c>
      <c r="H46" s="905" t="s">
        <v>203</v>
      </c>
      <c r="I46" s="905">
        <v>960</v>
      </c>
      <c r="J46" s="905">
        <v>0</v>
      </c>
      <c r="K46" s="905">
        <v>16</v>
      </c>
      <c r="L46" s="1114">
        <f t="shared" si="10"/>
        <v>60</v>
      </c>
      <c r="M46" s="928">
        <v>45951</v>
      </c>
      <c r="N46" s="928">
        <v>45947</v>
      </c>
      <c r="O46" s="908" t="s">
        <v>318</v>
      </c>
      <c r="P46" s="1116" t="s">
        <v>46</v>
      </c>
      <c r="Q46" s="908"/>
      <c r="R46" s="941" t="s">
        <v>251</v>
      </c>
      <c r="S46" s="941" t="s">
        <v>58</v>
      </c>
      <c r="T46" s="941">
        <v>45908</v>
      </c>
      <c r="U46" s="943" t="s">
        <v>252</v>
      </c>
      <c r="V46" s="928" t="s">
        <v>207</v>
      </c>
      <c r="W46" s="1125">
        <v>1.596</v>
      </c>
      <c r="X46" s="1126">
        <f>W46*I46</f>
        <v>1532.16</v>
      </c>
      <c r="Y46" s="908" t="s">
        <v>322</v>
      </c>
      <c r="Z46" s="1106" t="s">
        <v>202</v>
      </c>
      <c r="AA46" s="905" t="s">
        <v>53</v>
      </c>
      <c r="AB46" s="905" t="s">
        <v>54</v>
      </c>
      <c r="AC46" s="908"/>
      <c r="AD46" s="958">
        <v>960</v>
      </c>
      <c r="AE46" s="1132">
        <f t="shared" si="6"/>
        <v>0</v>
      </c>
      <c r="AF46" s="1133"/>
      <c r="AG46" s="908"/>
      <c r="AH46" s="908"/>
      <c r="AI46" s="830">
        <f t="shared" si="15"/>
        <v>960</v>
      </c>
      <c r="AJ46" s="969">
        <f t="shared" si="11"/>
        <v>960</v>
      </c>
      <c r="AK46" s="969"/>
      <c r="AM46" s="804">
        <f t="shared" si="8"/>
        <v>960</v>
      </c>
      <c r="AN46" s="908"/>
      <c r="AR46" s="908"/>
      <c r="AS46" s="908"/>
      <c r="AT46" s="908"/>
      <c r="AU46" s="908"/>
      <c r="AW46" s="804">
        <f>I46/16</f>
        <v>60</v>
      </c>
      <c r="BC46" s="1105"/>
      <c r="BD46" s="1140"/>
      <c r="BE46" s="1105"/>
      <c r="BF46" s="1105"/>
      <c r="BG46" s="1105"/>
      <c r="BT46" s="805">
        <f t="shared" si="13"/>
        <v>60</v>
      </c>
      <c r="BU46" s="805">
        <f t="shared" si="14"/>
        <v>0</v>
      </c>
      <c r="BV46" s="291">
        <f t="shared" si="3"/>
        <v>370539</v>
      </c>
      <c r="BW46" s="975"/>
      <c r="BX46" s="975">
        <f t="shared" si="4"/>
        <v>49461</v>
      </c>
      <c r="CA46" s="975"/>
      <c r="CE46" s="975"/>
      <c r="CF46" s="975"/>
      <c r="CG46" s="975"/>
      <c r="CH46" s="975"/>
      <c r="CI46" s="975"/>
      <c r="CJ46" s="975"/>
    </row>
    <row r="47" s="804" customFormat="1" ht="31" hidden="1" customHeight="1" spans="1:105">
      <c r="A47" s="1104">
        <v>45905</v>
      </c>
      <c r="B47" s="959" t="s">
        <v>323</v>
      </c>
      <c r="C47" s="1105" t="s">
        <v>324</v>
      </c>
      <c r="D47" s="959">
        <v>4500178971</v>
      </c>
      <c r="E47" s="908" t="s">
        <v>325</v>
      </c>
      <c r="F47" s="959" t="s">
        <v>326</v>
      </c>
      <c r="G47" s="1106" t="s">
        <v>145</v>
      </c>
      <c r="H47" s="905" t="s">
        <v>137</v>
      </c>
      <c r="I47" s="905">
        <v>364</v>
      </c>
      <c r="J47" s="905">
        <v>0</v>
      </c>
      <c r="K47" s="905">
        <v>52</v>
      </c>
      <c r="L47" s="1114">
        <f t="shared" si="10"/>
        <v>7</v>
      </c>
      <c r="M47" s="928">
        <v>45957</v>
      </c>
      <c r="N47" s="1117">
        <v>45958</v>
      </c>
      <c r="O47" s="908"/>
      <c r="P47" s="1116" t="s">
        <v>46</v>
      </c>
      <c r="Q47" s="950">
        <v>45959</v>
      </c>
      <c r="R47" s="941">
        <v>45905</v>
      </c>
      <c r="S47" s="941" t="s">
        <v>58</v>
      </c>
      <c r="T47" s="941">
        <v>45925</v>
      </c>
      <c r="U47" s="943" t="s">
        <v>327</v>
      </c>
      <c r="V47" s="1124" t="s">
        <v>328</v>
      </c>
      <c r="W47" s="1125">
        <v>2.15</v>
      </c>
      <c r="X47" s="1126">
        <f t="shared" ref="X47:X53" si="16">W47*I47</f>
        <v>782.6</v>
      </c>
      <c r="Y47" s="908" t="s">
        <v>329</v>
      </c>
      <c r="Z47" s="1106" t="s">
        <v>145</v>
      </c>
      <c r="AA47" s="905" t="s">
        <v>53</v>
      </c>
      <c r="AB47" s="905" t="s">
        <v>54</v>
      </c>
      <c r="AC47" s="908"/>
      <c r="AD47" s="1132">
        <v>364</v>
      </c>
      <c r="AE47" s="1132">
        <f t="shared" si="6"/>
        <v>0</v>
      </c>
      <c r="AF47" s="1133"/>
      <c r="AG47" s="908" t="s">
        <v>55</v>
      </c>
      <c r="AH47" s="908"/>
      <c r="AI47" s="830">
        <f t="shared" si="15"/>
        <v>364</v>
      </c>
      <c r="AJ47" s="969">
        <f t="shared" si="11"/>
        <v>364</v>
      </c>
      <c r="AL47" s="969"/>
      <c r="AM47" s="804">
        <f t="shared" si="8"/>
        <v>364</v>
      </c>
      <c r="AP47" s="804">
        <f>I47/13</f>
        <v>28</v>
      </c>
      <c r="BC47" s="1105"/>
      <c r="BD47" s="1105"/>
      <c r="BE47" s="1105"/>
      <c r="BF47" s="1105"/>
      <c r="BG47" s="1105"/>
      <c r="BL47" s="975"/>
      <c r="BM47" s="975"/>
      <c r="BN47" s="975"/>
      <c r="BO47" s="975"/>
      <c r="BP47" s="975"/>
      <c r="BQ47" s="975"/>
      <c r="BT47" s="805">
        <f t="shared" si="13"/>
        <v>0</v>
      </c>
      <c r="BU47" s="805">
        <f t="shared" si="14"/>
        <v>0</v>
      </c>
      <c r="BV47" s="291">
        <f t="shared" si="3"/>
        <v>370903</v>
      </c>
      <c r="BW47" s="975"/>
      <c r="BX47" s="975">
        <f t="shared" si="4"/>
        <v>49097</v>
      </c>
      <c r="BY47" s="975">
        <v>414825</v>
      </c>
      <c r="BZ47" s="975"/>
      <c r="CA47" s="975"/>
      <c r="CF47" s="1138"/>
      <c r="CG47" s="1138"/>
      <c r="CH47" s="1138"/>
      <c r="CI47" s="1138"/>
      <c r="CJ47" s="1138"/>
      <c r="CK47" s="1138"/>
      <c r="CL47" s="1138"/>
      <c r="CM47" s="1138"/>
      <c r="CN47" s="1138"/>
      <c r="CO47" s="1138"/>
      <c r="CP47" s="1138"/>
      <c r="CQ47" s="1138"/>
      <c r="CR47" s="1138"/>
      <c r="CS47" s="1138"/>
      <c r="CT47" s="1138"/>
      <c r="CU47" s="1138"/>
      <c r="CV47" s="1138"/>
      <c r="CW47" s="1138"/>
      <c r="CX47" s="1138"/>
      <c r="CY47" s="1138"/>
      <c r="CZ47" s="1138"/>
      <c r="DA47" s="1138"/>
    </row>
    <row r="48" s="804" customFormat="1" ht="31" hidden="1" customHeight="1" spans="1:105">
      <c r="A48" s="1104">
        <v>45912</v>
      </c>
      <c r="B48" s="959" t="s">
        <v>157</v>
      </c>
      <c r="C48" s="1105" t="s">
        <v>158</v>
      </c>
      <c r="D48" s="959">
        <v>4500179341</v>
      </c>
      <c r="E48" s="908" t="s">
        <v>330</v>
      </c>
      <c r="F48" s="943" t="s">
        <v>331</v>
      </c>
      <c r="G48" s="1106" t="s">
        <v>151</v>
      </c>
      <c r="H48" s="905" t="s">
        <v>152</v>
      </c>
      <c r="I48" s="905">
        <v>78</v>
      </c>
      <c r="J48" s="905">
        <v>0</v>
      </c>
      <c r="K48" s="905">
        <v>13</v>
      </c>
      <c r="L48" s="1114">
        <f t="shared" si="10"/>
        <v>6</v>
      </c>
      <c r="M48" s="928">
        <v>45957</v>
      </c>
      <c r="N48" s="1117">
        <v>45958</v>
      </c>
      <c r="O48" s="908"/>
      <c r="P48" s="1116" t="s">
        <v>46</v>
      </c>
      <c r="Q48" s="908" t="s">
        <v>332</v>
      </c>
      <c r="R48" s="941">
        <v>45925</v>
      </c>
      <c r="S48" s="941" t="s">
        <v>48</v>
      </c>
      <c r="T48" s="941" t="s">
        <v>333</v>
      </c>
      <c r="U48" s="943" t="s">
        <v>160</v>
      </c>
      <c r="V48" s="1124" t="s">
        <v>154</v>
      </c>
      <c r="W48" s="1125">
        <v>2.4275</v>
      </c>
      <c r="X48" s="1126">
        <f t="shared" si="16"/>
        <v>189.345</v>
      </c>
      <c r="Y48" s="908" t="s">
        <v>334</v>
      </c>
      <c r="Z48" s="1106" t="s">
        <v>151</v>
      </c>
      <c r="AA48" s="908" t="s">
        <v>53</v>
      </c>
      <c r="AB48" s="905" t="s">
        <v>54</v>
      </c>
      <c r="AC48" s="908"/>
      <c r="AD48" s="1132">
        <v>78</v>
      </c>
      <c r="AE48" s="1132">
        <f t="shared" si="6"/>
        <v>0</v>
      </c>
      <c r="AF48" s="1133"/>
      <c r="AG48" s="908" t="s">
        <v>55</v>
      </c>
      <c r="AH48" s="908"/>
      <c r="AI48" s="830">
        <f t="shared" si="15"/>
        <v>78</v>
      </c>
      <c r="AJ48" s="969">
        <f t="shared" si="11"/>
        <v>78</v>
      </c>
      <c r="AL48" s="969"/>
      <c r="AM48" s="804">
        <f t="shared" si="8"/>
        <v>78</v>
      </c>
      <c r="AP48" s="804">
        <f>I48/13</f>
        <v>6</v>
      </c>
      <c r="BC48" s="1105"/>
      <c r="BD48" s="1105"/>
      <c r="BE48" s="1105"/>
      <c r="BF48" s="1105"/>
      <c r="BG48" s="1105"/>
      <c r="BL48" s="975"/>
      <c r="BM48" s="975"/>
      <c r="BN48" s="975"/>
      <c r="BO48" s="975"/>
      <c r="BP48" s="975"/>
      <c r="BQ48" s="975"/>
      <c r="BT48" s="805">
        <f t="shared" si="13"/>
        <v>0</v>
      </c>
      <c r="BU48" s="805">
        <f t="shared" si="14"/>
        <v>0</v>
      </c>
      <c r="BV48" s="291">
        <f t="shared" si="3"/>
        <v>370981</v>
      </c>
      <c r="BW48" s="975"/>
      <c r="BX48" s="975">
        <f t="shared" si="4"/>
        <v>49019</v>
      </c>
      <c r="BY48" s="975">
        <v>413967</v>
      </c>
      <c r="BZ48" s="975"/>
      <c r="CA48" s="975"/>
      <c r="CF48" s="1138"/>
      <c r="CG48" s="1138"/>
      <c r="CH48" s="1138"/>
      <c r="CI48" s="1138"/>
      <c r="CJ48" s="1138"/>
      <c r="CK48" s="1138"/>
      <c r="CL48" s="1138"/>
      <c r="CM48" s="1138"/>
      <c r="CN48" s="1138"/>
      <c r="CO48" s="1138"/>
      <c r="CP48" s="1138"/>
      <c r="CQ48" s="1138"/>
      <c r="CR48" s="1138"/>
      <c r="CS48" s="1138"/>
      <c r="CT48" s="1138"/>
      <c r="CU48" s="1138"/>
      <c r="CV48" s="1138"/>
      <c r="CW48" s="1138"/>
      <c r="CX48" s="1138"/>
      <c r="CY48" s="1138"/>
      <c r="CZ48" s="1138"/>
      <c r="DA48" s="1138"/>
    </row>
    <row r="49" s="804" customFormat="1" ht="31" hidden="1" customHeight="1" spans="1:105">
      <c r="A49" s="1104">
        <v>45912</v>
      </c>
      <c r="B49" s="959" t="s">
        <v>148</v>
      </c>
      <c r="C49" s="1105" t="s">
        <v>149</v>
      </c>
      <c r="D49" s="959">
        <v>4500179340</v>
      </c>
      <c r="E49" s="908">
        <v>21105439</v>
      </c>
      <c r="F49" s="943" t="s">
        <v>335</v>
      </c>
      <c r="G49" s="1106" t="s">
        <v>151</v>
      </c>
      <c r="H49" s="905" t="s">
        <v>152</v>
      </c>
      <c r="I49" s="905">
        <v>1482</v>
      </c>
      <c r="J49" s="905">
        <v>0</v>
      </c>
      <c r="K49" s="905">
        <v>13</v>
      </c>
      <c r="L49" s="1114">
        <f t="shared" si="10"/>
        <v>114</v>
      </c>
      <c r="M49" s="928">
        <v>45957</v>
      </c>
      <c r="N49" s="1117">
        <v>45958</v>
      </c>
      <c r="O49" s="908"/>
      <c r="P49" s="1116" t="s">
        <v>46</v>
      </c>
      <c r="Q49" s="908" t="s">
        <v>336</v>
      </c>
      <c r="R49" s="941">
        <v>45925</v>
      </c>
      <c r="S49" s="941" t="s">
        <v>48</v>
      </c>
      <c r="T49" s="941" t="s">
        <v>333</v>
      </c>
      <c r="U49" s="943" t="s">
        <v>171</v>
      </c>
      <c r="V49" s="1124" t="s">
        <v>154</v>
      </c>
      <c r="W49" s="1125">
        <v>2.4275</v>
      </c>
      <c r="X49" s="1126">
        <f t="shared" si="16"/>
        <v>3597.555</v>
      </c>
      <c r="Y49" s="908" t="s">
        <v>337</v>
      </c>
      <c r="Z49" s="1106" t="s">
        <v>151</v>
      </c>
      <c r="AA49" s="908" t="s">
        <v>53</v>
      </c>
      <c r="AB49" s="905" t="s">
        <v>54</v>
      </c>
      <c r="AC49" s="908"/>
      <c r="AD49" s="1132">
        <v>1482</v>
      </c>
      <c r="AE49" s="1132">
        <f t="shared" si="6"/>
        <v>0</v>
      </c>
      <c r="AF49" s="1133"/>
      <c r="AG49" s="908" t="s">
        <v>55</v>
      </c>
      <c r="AH49" s="908"/>
      <c r="AI49" s="830">
        <f t="shared" si="15"/>
        <v>1482</v>
      </c>
      <c r="AJ49" s="969">
        <f t="shared" si="11"/>
        <v>1482</v>
      </c>
      <c r="AL49" s="969"/>
      <c r="AM49" s="804">
        <f t="shared" si="8"/>
        <v>1482</v>
      </c>
      <c r="AP49" s="804">
        <f>I49/13</f>
        <v>114</v>
      </c>
      <c r="BC49" s="1105"/>
      <c r="BD49" s="1105"/>
      <c r="BE49" s="1105"/>
      <c r="BF49" s="1105"/>
      <c r="BG49" s="1105"/>
      <c r="BL49" s="975"/>
      <c r="BM49" s="975"/>
      <c r="BN49" s="975"/>
      <c r="BO49" s="975"/>
      <c r="BP49" s="975"/>
      <c r="BQ49" s="975"/>
      <c r="BT49" s="805">
        <f t="shared" si="13"/>
        <v>0</v>
      </c>
      <c r="BU49" s="805">
        <f t="shared" si="14"/>
        <v>0</v>
      </c>
      <c r="BV49" s="291">
        <f t="shared" si="3"/>
        <v>372463</v>
      </c>
      <c r="BW49" s="975"/>
      <c r="BX49" s="975">
        <f t="shared" si="4"/>
        <v>47537</v>
      </c>
      <c r="BY49" s="975">
        <v>412485</v>
      </c>
      <c r="BZ49" s="975"/>
      <c r="CA49" s="975"/>
      <c r="CF49" s="1138"/>
      <c r="CG49" s="1138"/>
      <c r="CH49" s="1138"/>
      <c r="CI49" s="1138"/>
      <c r="CJ49" s="1138"/>
      <c r="CK49" s="1138"/>
      <c r="CL49" s="1138"/>
      <c r="CM49" s="1138"/>
      <c r="CN49" s="1138"/>
      <c r="CO49" s="1138"/>
      <c r="CP49" s="1138"/>
      <c r="CQ49" s="1138"/>
      <c r="CR49" s="1138"/>
      <c r="CS49" s="1138"/>
      <c r="CT49" s="1138"/>
      <c r="CU49" s="1138"/>
      <c r="CV49" s="1138"/>
      <c r="CW49" s="1138"/>
      <c r="CX49" s="1138"/>
      <c r="CY49" s="1138"/>
      <c r="CZ49" s="1138"/>
      <c r="DA49" s="1138"/>
    </row>
    <row r="50" s="804" customFormat="1" ht="31" hidden="1" customHeight="1" spans="1:105">
      <c r="A50" s="1104">
        <v>45884</v>
      </c>
      <c r="B50" s="959" t="s">
        <v>199</v>
      </c>
      <c r="C50" s="1105" t="s">
        <v>84</v>
      </c>
      <c r="D50" s="959">
        <v>4500177094</v>
      </c>
      <c r="E50" s="1294" t="s">
        <v>338</v>
      </c>
      <c r="F50" s="959" t="s">
        <v>339</v>
      </c>
      <c r="G50" s="1106" t="s">
        <v>202</v>
      </c>
      <c r="H50" s="905" t="s">
        <v>203</v>
      </c>
      <c r="I50" s="905">
        <v>13536</v>
      </c>
      <c r="J50" s="905">
        <v>0</v>
      </c>
      <c r="K50" s="905">
        <v>16</v>
      </c>
      <c r="L50" s="1114">
        <f t="shared" si="10"/>
        <v>846</v>
      </c>
      <c r="M50" s="928">
        <v>45957</v>
      </c>
      <c r="N50" s="1117">
        <v>45960</v>
      </c>
      <c r="O50" s="908" t="s">
        <v>340</v>
      </c>
      <c r="P50" s="1116" t="s">
        <v>46</v>
      </c>
      <c r="Q50" s="950">
        <v>45960</v>
      </c>
      <c r="R50" s="941">
        <v>45884</v>
      </c>
      <c r="S50" s="941" t="s">
        <v>58</v>
      </c>
      <c r="T50" s="941">
        <v>45902</v>
      </c>
      <c r="U50" s="943" t="s">
        <v>262</v>
      </c>
      <c r="V50" s="1124" t="s">
        <v>207</v>
      </c>
      <c r="W50" s="1125">
        <v>1.596</v>
      </c>
      <c r="X50" s="1126">
        <f t="shared" si="16"/>
        <v>21603.456</v>
      </c>
      <c r="Y50" s="908" t="s">
        <v>341</v>
      </c>
      <c r="Z50" s="1106" t="s">
        <v>202</v>
      </c>
      <c r="AA50" s="905" t="s">
        <v>53</v>
      </c>
      <c r="AB50" s="905" t="s">
        <v>54</v>
      </c>
      <c r="AC50" s="908"/>
      <c r="AD50" s="1132">
        <f>7776+5760</f>
        <v>13536</v>
      </c>
      <c r="AE50" s="1132">
        <f t="shared" si="6"/>
        <v>0</v>
      </c>
      <c r="AF50" s="1133"/>
      <c r="AG50" s="908"/>
      <c r="AH50" s="908"/>
      <c r="AI50" s="830">
        <f t="shared" si="15"/>
        <v>13536</v>
      </c>
      <c r="AJ50" s="969">
        <f t="shared" si="11"/>
        <v>13536</v>
      </c>
      <c r="AL50" s="969"/>
      <c r="AM50" s="804">
        <f t="shared" si="8"/>
        <v>13536</v>
      </c>
      <c r="AW50" s="804">
        <f>I50/16</f>
        <v>846</v>
      </c>
      <c r="BC50" s="1105"/>
      <c r="BD50" s="1105"/>
      <c r="BE50" s="1105"/>
      <c r="BF50" s="1105"/>
      <c r="BG50" s="1105"/>
      <c r="BL50" s="975"/>
      <c r="BM50" s="975"/>
      <c r="BN50" s="975"/>
      <c r="BO50" s="975"/>
      <c r="BP50" s="975"/>
      <c r="BQ50" s="975"/>
      <c r="BT50" s="805">
        <f t="shared" si="13"/>
        <v>846</v>
      </c>
      <c r="BU50" s="805">
        <f t="shared" si="14"/>
        <v>0</v>
      </c>
      <c r="BV50" s="291">
        <f t="shared" si="3"/>
        <v>385999</v>
      </c>
      <c r="BW50" s="975"/>
      <c r="BX50" s="975">
        <f t="shared" si="4"/>
        <v>34001</v>
      </c>
      <c r="BY50" s="975">
        <f t="shared" ref="BY50:BY69" si="17">$BX$1+$BY$1-BV50</f>
        <v>474001</v>
      </c>
      <c r="BZ50" s="975"/>
      <c r="CA50" s="975"/>
      <c r="CF50" s="1138"/>
      <c r="CG50" s="1138"/>
      <c r="CH50" s="1138"/>
      <c r="CI50" s="1138"/>
      <c r="CJ50" s="1138"/>
      <c r="CK50" s="1138"/>
      <c r="CL50" s="1138"/>
      <c r="CM50" s="1138"/>
      <c r="CN50" s="1138"/>
      <c r="CO50" s="1138"/>
      <c r="CP50" s="1138"/>
      <c r="CQ50" s="1138"/>
      <c r="CR50" s="1138"/>
      <c r="CS50" s="1138"/>
      <c r="CT50" s="1138"/>
      <c r="CU50" s="1138"/>
      <c r="CV50" s="1138"/>
      <c r="CW50" s="1138"/>
      <c r="CX50" s="1138"/>
      <c r="CY50" s="1138"/>
      <c r="CZ50" s="1138"/>
      <c r="DA50" s="1138"/>
    </row>
    <row r="51" s="804" customFormat="1" ht="31" hidden="1" customHeight="1" spans="1:105">
      <c r="A51" s="1104">
        <v>45884</v>
      </c>
      <c r="B51" s="959" t="s">
        <v>199</v>
      </c>
      <c r="C51" s="1105" t="s">
        <v>84</v>
      </c>
      <c r="D51" s="959">
        <v>4500177094</v>
      </c>
      <c r="E51" s="1294" t="s">
        <v>342</v>
      </c>
      <c r="F51" s="959" t="s">
        <v>343</v>
      </c>
      <c r="G51" s="1106" t="s">
        <v>202</v>
      </c>
      <c r="H51" s="905" t="s">
        <v>203</v>
      </c>
      <c r="I51" s="905">
        <v>13376</v>
      </c>
      <c r="J51" s="905">
        <v>0</v>
      </c>
      <c r="K51" s="905">
        <v>16</v>
      </c>
      <c r="L51" s="1114">
        <f t="shared" si="10"/>
        <v>836</v>
      </c>
      <c r="M51" s="928">
        <v>45957</v>
      </c>
      <c r="N51" s="1117">
        <v>45960</v>
      </c>
      <c r="O51" s="908" t="s">
        <v>340</v>
      </c>
      <c r="P51" s="1116" t="s">
        <v>46</v>
      </c>
      <c r="Q51" s="950">
        <v>45960</v>
      </c>
      <c r="R51" s="941">
        <v>45884</v>
      </c>
      <c r="S51" s="941" t="s">
        <v>58</v>
      </c>
      <c r="T51" s="941">
        <v>45902</v>
      </c>
      <c r="U51" s="943" t="s">
        <v>262</v>
      </c>
      <c r="V51" s="1124" t="s">
        <v>207</v>
      </c>
      <c r="W51" s="1125">
        <v>1.596</v>
      </c>
      <c r="X51" s="1126">
        <f t="shared" si="16"/>
        <v>21348.096</v>
      </c>
      <c r="Y51" s="908" t="s">
        <v>344</v>
      </c>
      <c r="Z51" s="1106" t="s">
        <v>202</v>
      </c>
      <c r="AA51" s="905" t="s">
        <v>53</v>
      </c>
      <c r="AB51" s="905" t="s">
        <v>54</v>
      </c>
      <c r="AC51" s="908"/>
      <c r="AD51" s="1132">
        <v>13376</v>
      </c>
      <c r="AE51" s="1132">
        <f t="shared" si="6"/>
        <v>0</v>
      </c>
      <c r="AF51" s="1133"/>
      <c r="AG51" s="908"/>
      <c r="AH51" s="908"/>
      <c r="AI51" s="830">
        <f t="shared" si="15"/>
        <v>13376</v>
      </c>
      <c r="AJ51" s="969">
        <f t="shared" si="11"/>
        <v>13376</v>
      </c>
      <c r="AL51" s="969"/>
      <c r="AM51" s="804">
        <f t="shared" si="8"/>
        <v>13376</v>
      </c>
      <c r="AW51" s="804">
        <f>I51/16</f>
        <v>836</v>
      </c>
      <c r="BC51" s="1105"/>
      <c r="BD51" s="1105"/>
      <c r="BE51" s="1105"/>
      <c r="BF51" s="1105"/>
      <c r="BG51" s="1105"/>
      <c r="BL51" s="975"/>
      <c r="BM51" s="975"/>
      <c r="BN51" s="975"/>
      <c r="BO51" s="975"/>
      <c r="BP51" s="975"/>
      <c r="BQ51" s="975"/>
      <c r="BT51" s="805">
        <f t="shared" si="13"/>
        <v>836</v>
      </c>
      <c r="BU51" s="805">
        <f t="shared" si="14"/>
        <v>0</v>
      </c>
      <c r="BV51" s="291">
        <f t="shared" si="3"/>
        <v>399375</v>
      </c>
      <c r="BW51" s="975"/>
      <c r="BX51" s="975">
        <f t="shared" si="4"/>
        <v>20625</v>
      </c>
      <c r="BY51" s="975">
        <f t="shared" si="17"/>
        <v>460625</v>
      </c>
      <c r="BZ51" s="975"/>
      <c r="CA51" s="975"/>
      <c r="CF51" s="1138"/>
      <c r="CG51" s="1138"/>
      <c r="CH51" s="1138"/>
      <c r="CI51" s="1138"/>
      <c r="CJ51" s="1138"/>
      <c r="CK51" s="1138"/>
      <c r="CL51" s="1138"/>
      <c r="CM51" s="1138"/>
      <c r="CN51" s="1138"/>
      <c r="CO51" s="1138"/>
      <c r="CP51" s="1138"/>
      <c r="CQ51" s="1138"/>
      <c r="CR51" s="1138"/>
      <c r="CS51" s="1138"/>
      <c r="CT51" s="1138"/>
      <c r="CU51" s="1138"/>
      <c r="CV51" s="1138"/>
      <c r="CW51" s="1138"/>
      <c r="CX51" s="1138"/>
      <c r="CY51" s="1138"/>
      <c r="CZ51" s="1138"/>
      <c r="DA51" s="1138"/>
    </row>
    <row r="52" s="804" customFormat="1" ht="31" hidden="1" customHeight="1" spans="1:105">
      <c r="A52" s="1104">
        <v>45897</v>
      </c>
      <c r="B52" s="959" t="s">
        <v>199</v>
      </c>
      <c r="C52" s="1105" t="s">
        <v>84</v>
      </c>
      <c r="D52" s="959">
        <v>4500178135</v>
      </c>
      <c r="E52" s="1294" t="s">
        <v>345</v>
      </c>
      <c r="F52" s="959" t="s">
        <v>346</v>
      </c>
      <c r="G52" s="1106" t="s">
        <v>202</v>
      </c>
      <c r="H52" s="905" t="s">
        <v>203</v>
      </c>
      <c r="I52" s="905">
        <v>960</v>
      </c>
      <c r="J52" s="905">
        <v>0</v>
      </c>
      <c r="K52" s="905">
        <v>16</v>
      </c>
      <c r="L52" s="1114">
        <f t="shared" si="10"/>
        <v>60</v>
      </c>
      <c r="M52" s="928">
        <v>45957</v>
      </c>
      <c r="N52" s="1117">
        <v>45960</v>
      </c>
      <c r="O52" s="908" t="s">
        <v>347</v>
      </c>
      <c r="P52" s="1116" t="s">
        <v>46</v>
      </c>
      <c r="Q52" s="908"/>
      <c r="R52" s="941" t="s">
        <v>251</v>
      </c>
      <c r="S52" s="941" t="s">
        <v>58</v>
      </c>
      <c r="T52" s="941">
        <v>45908</v>
      </c>
      <c r="U52" s="943" t="s">
        <v>252</v>
      </c>
      <c r="V52" s="1124" t="s">
        <v>207</v>
      </c>
      <c r="W52" s="1125">
        <v>1.596</v>
      </c>
      <c r="X52" s="1126">
        <f t="shared" si="16"/>
        <v>1532.16</v>
      </c>
      <c r="Y52" s="908" t="s">
        <v>348</v>
      </c>
      <c r="Z52" s="1106" t="s">
        <v>202</v>
      </c>
      <c r="AA52" s="905" t="s">
        <v>53</v>
      </c>
      <c r="AB52" s="905" t="s">
        <v>54</v>
      </c>
      <c r="AC52" s="908"/>
      <c r="AD52" s="1132">
        <v>960</v>
      </c>
      <c r="AE52" s="1132">
        <f t="shared" si="6"/>
        <v>0</v>
      </c>
      <c r="AF52" s="1133"/>
      <c r="AG52" s="908"/>
      <c r="AH52" s="908"/>
      <c r="AI52" s="830">
        <f t="shared" si="15"/>
        <v>960</v>
      </c>
      <c r="AJ52" s="969">
        <f t="shared" si="11"/>
        <v>960</v>
      </c>
      <c r="AL52" s="969"/>
      <c r="AM52" s="804">
        <f t="shared" si="8"/>
        <v>960</v>
      </c>
      <c r="AW52" s="804">
        <f>I52/16</f>
        <v>60</v>
      </c>
      <c r="BC52" s="1105"/>
      <c r="BD52" s="1105"/>
      <c r="BE52" s="1105"/>
      <c r="BF52" s="1105"/>
      <c r="BG52" s="1105"/>
      <c r="BL52" s="975"/>
      <c r="BM52" s="975"/>
      <c r="BN52" s="975"/>
      <c r="BO52" s="975"/>
      <c r="BP52" s="975"/>
      <c r="BQ52" s="975"/>
      <c r="BT52" s="805">
        <f t="shared" si="13"/>
        <v>60</v>
      </c>
      <c r="BU52" s="805">
        <f t="shared" si="14"/>
        <v>0</v>
      </c>
      <c r="BV52" s="291">
        <f t="shared" si="3"/>
        <v>400335</v>
      </c>
      <c r="BW52" s="975"/>
      <c r="BX52" s="975">
        <f t="shared" si="4"/>
        <v>19665</v>
      </c>
      <c r="BY52" s="975">
        <f t="shared" si="17"/>
        <v>459665</v>
      </c>
      <c r="BZ52" s="975"/>
      <c r="CA52" s="975"/>
      <c r="CF52" s="1138"/>
      <c r="CG52" s="1138"/>
      <c r="CH52" s="1138"/>
      <c r="CI52" s="1138"/>
      <c r="CJ52" s="1138"/>
      <c r="CK52" s="1138"/>
      <c r="CL52" s="1138"/>
      <c r="CM52" s="1138"/>
      <c r="CN52" s="1138"/>
      <c r="CO52" s="1138"/>
      <c r="CP52" s="1138"/>
      <c r="CQ52" s="1138"/>
      <c r="CR52" s="1138"/>
      <c r="CS52" s="1138"/>
      <c r="CT52" s="1138"/>
      <c r="CU52" s="1138"/>
      <c r="CV52" s="1138"/>
      <c r="CW52" s="1138"/>
      <c r="CX52" s="1138"/>
      <c r="CY52" s="1138"/>
      <c r="CZ52" s="1138"/>
      <c r="DA52" s="1138"/>
    </row>
    <row r="53" s="804" customFormat="1" ht="32" hidden="1" customHeight="1" spans="1:88">
      <c r="A53" s="903">
        <v>45904</v>
      </c>
      <c r="B53" s="1108" t="s">
        <v>349</v>
      </c>
      <c r="C53" s="905" t="s">
        <v>350</v>
      </c>
      <c r="D53" s="906">
        <v>4500178799</v>
      </c>
      <c r="E53" s="904"/>
      <c r="F53" s="1109" t="s">
        <v>351</v>
      </c>
      <c r="G53" s="908" t="s">
        <v>136</v>
      </c>
      <c r="H53" s="905" t="s">
        <v>137</v>
      </c>
      <c r="I53" s="905">
        <v>1000</v>
      </c>
      <c r="J53" s="905">
        <v>0</v>
      </c>
      <c r="K53" s="905">
        <v>50</v>
      </c>
      <c r="L53" s="1114">
        <f t="shared" si="10"/>
        <v>20</v>
      </c>
      <c r="M53" s="928">
        <v>45947</v>
      </c>
      <c r="N53" s="928">
        <v>45945</v>
      </c>
      <c r="O53" s="908"/>
      <c r="P53" s="1116" t="s">
        <v>46</v>
      </c>
      <c r="Q53" s="908"/>
      <c r="R53" s="941">
        <v>45910</v>
      </c>
      <c r="S53" s="942" t="s">
        <v>58</v>
      </c>
      <c r="T53" s="941" t="s">
        <v>352</v>
      </c>
      <c r="U53" s="943" t="s">
        <v>353</v>
      </c>
      <c r="V53" s="928" t="s">
        <v>354</v>
      </c>
      <c r="W53" s="1125">
        <v>2.35</v>
      </c>
      <c r="X53" s="1126">
        <f t="shared" si="16"/>
        <v>2350</v>
      </c>
      <c r="Y53" s="908"/>
      <c r="Z53" s="1106" t="s">
        <v>355</v>
      </c>
      <c r="AA53" s="905" t="s">
        <v>53</v>
      </c>
      <c r="AB53" s="905" t="s">
        <v>54</v>
      </c>
      <c r="AC53" s="908"/>
      <c r="AD53" s="958">
        <v>1000</v>
      </c>
      <c r="AE53" s="930">
        <f t="shared" si="6"/>
        <v>0</v>
      </c>
      <c r="AF53" s="1133"/>
      <c r="AG53" s="908" t="s">
        <v>55</v>
      </c>
      <c r="AH53" s="908"/>
      <c r="AI53" s="830">
        <f t="shared" si="15"/>
        <v>1000</v>
      </c>
      <c r="AJ53" s="969"/>
      <c r="AK53" s="969"/>
      <c r="AL53" s="1137">
        <f>I53</f>
        <v>1000</v>
      </c>
      <c r="AM53" s="969">
        <f t="shared" si="8"/>
        <v>1000</v>
      </c>
      <c r="AN53" s="908"/>
      <c r="AO53" s="969"/>
      <c r="AR53" s="1139">
        <f>L53*2</f>
        <v>40</v>
      </c>
      <c r="AS53" s="908"/>
      <c r="AT53" s="908"/>
      <c r="AU53" s="908"/>
      <c r="BC53" s="1105"/>
      <c r="BD53" s="1140"/>
      <c r="BE53" s="1105"/>
      <c r="BF53" s="1105"/>
      <c r="BG53" s="1105"/>
      <c r="BT53" s="805">
        <f t="shared" si="13"/>
        <v>40</v>
      </c>
      <c r="BU53" s="805">
        <f t="shared" si="14"/>
        <v>0</v>
      </c>
      <c r="BV53" s="291">
        <f t="shared" si="3"/>
        <v>401335</v>
      </c>
      <c r="BW53" s="975"/>
      <c r="BX53" s="975">
        <f t="shared" si="4"/>
        <v>18665</v>
      </c>
      <c r="BY53" s="975">
        <f t="shared" si="17"/>
        <v>458665</v>
      </c>
      <c r="CA53" s="975"/>
      <c r="CE53" s="975"/>
      <c r="CF53" s="975"/>
      <c r="CG53" s="975"/>
      <c r="CH53" s="975"/>
      <c r="CI53" s="975"/>
      <c r="CJ53" s="975"/>
    </row>
    <row r="54" s="804" customFormat="1" ht="32" hidden="1" customHeight="1" spans="1:88">
      <c r="A54" s="903">
        <v>45896</v>
      </c>
      <c r="B54" s="1108" t="s">
        <v>162</v>
      </c>
      <c r="C54" s="1105" t="s">
        <v>84</v>
      </c>
      <c r="D54" s="906">
        <v>4500177942</v>
      </c>
      <c r="E54" s="904" t="s">
        <v>356</v>
      </c>
      <c r="F54" s="1109" t="s">
        <v>357</v>
      </c>
      <c r="G54" s="908" t="s">
        <v>187</v>
      </c>
      <c r="H54" s="905" t="s">
        <v>188</v>
      </c>
      <c r="I54" s="905">
        <v>29750</v>
      </c>
      <c r="J54" s="905">
        <v>0</v>
      </c>
      <c r="K54" s="905">
        <v>25</v>
      </c>
      <c r="L54" s="1114">
        <f t="shared" si="10"/>
        <v>1190</v>
      </c>
      <c r="M54" s="928">
        <v>45954</v>
      </c>
      <c r="N54" s="928">
        <v>45950</v>
      </c>
      <c r="O54" s="908"/>
      <c r="P54" s="1116" t="s">
        <v>46</v>
      </c>
      <c r="Q54" s="950" t="s">
        <v>358</v>
      </c>
      <c r="R54" s="941">
        <v>45904</v>
      </c>
      <c r="S54" s="941" t="s">
        <v>48</v>
      </c>
      <c r="T54" s="941">
        <v>45919</v>
      </c>
      <c r="U54" s="943" t="s">
        <v>359</v>
      </c>
      <c r="V54" s="928" t="s">
        <v>168</v>
      </c>
      <c r="W54" s="1125">
        <v>1.5848</v>
      </c>
      <c r="X54" s="1126">
        <f>I54*W54</f>
        <v>47147.8</v>
      </c>
      <c r="Y54" s="908" t="s">
        <v>360</v>
      </c>
      <c r="Z54" s="1106" t="s">
        <v>187</v>
      </c>
      <c r="AA54" s="905" t="s">
        <v>53</v>
      </c>
      <c r="AB54" s="905" t="s">
        <v>54</v>
      </c>
      <c r="AC54" s="908"/>
      <c r="AD54" s="958">
        <v>29750</v>
      </c>
      <c r="AE54" s="1132">
        <f t="shared" si="6"/>
        <v>0</v>
      </c>
      <c r="AF54" s="1133"/>
      <c r="AG54" s="908" t="s">
        <v>55</v>
      </c>
      <c r="AH54" s="908"/>
      <c r="AI54" s="830">
        <f t="shared" si="15"/>
        <v>29750</v>
      </c>
      <c r="AJ54" s="969">
        <f>I54</f>
        <v>29750</v>
      </c>
      <c r="AK54" s="969"/>
      <c r="AM54" s="804">
        <f t="shared" si="8"/>
        <v>29750</v>
      </c>
      <c r="AN54" s="908"/>
      <c r="AR54" s="804">
        <f>I54/25</f>
        <v>1190</v>
      </c>
      <c r="AS54" s="908"/>
      <c r="AT54" s="908"/>
      <c r="AU54" s="908"/>
      <c r="BC54" s="1105"/>
      <c r="BD54" s="1140"/>
      <c r="BE54" s="1105"/>
      <c r="BF54" s="1105"/>
      <c r="BG54" s="1105"/>
      <c r="BT54" s="805">
        <f t="shared" si="13"/>
        <v>1190</v>
      </c>
      <c r="BU54" s="805">
        <f t="shared" si="14"/>
        <v>0</v>
      </c>
      <c r="BV54" s="291">
        <f t="shared" si="3"/>
        <v>431085</v>
      </c>
      <c r="BW54" s="975"/>
      <c r="BX54" s="975"/>
      <c r="BY54" s="975">
        <f t="shared" si="17"/>
        <v>428915</v>
      </c>
      <c r="CA54" s="975"/>
      <c r="CE54" s="975"/>
      <c r="CF54" s="975"/>
      <c r="CG54" s="975"/>
      <c r="CH54" s="975"/>
      <c r="CI54" s="975"/>
      <c r="CJ54" s="975"/>
    </row>
    <row r="55" s="804" customFormat="1" ht="32" hidden="1" customHeight="1" spans="1:88">
      <c r="A55" s="903">
        <v>45908</v>
      </c>
      <c r="B55" s="1108" t="s">
        <v>162</v>
      </c>
      <c r="C55" s="1105" t="s">
        <v>84</v>
      </c>
      <c r="D55" s="906">
        <v>4500179008</v>
      </c>
      <c r="E55" s="904" t="s">
        <v>361</v>
      </c>
      <c r="F55" s="1109" t="s">
        <v>362</v>
      </c>
      <c r="G55" s="908" t="s">
        <v>187</v>
      </c>
      <c r="H55" s="905" t="s">
        <v>188</v>
      </c>
      <c r="I55" s="905">
        <v>12600</v>
      </c>
      <c r="J55" s="905">
        <v>0</v>
      </c>
      <c r="K55" s="905">
        <v>25</v>
      </c>
      <c r="L55" s="1114">
        <f t="shared" si="10"/>
        <v>504</v>
      </c>
      <c r="M55" s="928">
        <v>45956</v>
      </c>
      <c r="N55" s="928">
        <v>45952</v>
      </c>
      <c r="O55" s="908"/>
      <c r="P55" s="1116" t="s">
        <v>46</v>
      </c>
      <c r="Q55" s="950" t="s">
        <v>363</v>
      </c>
      <c r="R55" s="941">
        <v>45919</v>
      </c>
      <c r="S55" s="941" t="s">
        <v>48</v>
      </c>
      <c r="T55" s="941" t="s">
        <v>364</v>
      </c>
      <c r="U55" s="943" t="s">
        <v>365</v>
      </c>
      <c r="V55" s="928" t="s">
        <v>168</v>
      </c>
      <c r="W55" s="1125">
        <v>1.5848</v>
      </c>
      <c r="X55" s="1126">
        <f>I55*W55</f>
        <v>19968.48</v>
      </c>
      <c r="Y55" s="908" t="s">
        <v>366</v>
      </c>
      <c r="Z55" s="1106" t="s">
        <v>187</v>
      </c>
      <c r="AA55" s="905" t="s">
        <v>53</v>
      </c>
      <c r="AB55" s="905" t="s">
        <v>54</v>
      </c>
      <c r="AC55" s="908"/>
      <c r="AD55" s="958">
        <v>12600</v>
      </c>
      <c r="AE55" s="1132">
        <f t="shared" si="6"/>
        <v>0</v>
      </c>
      <c r="AF55" s="1133"/>
      <c r="AG55" s="908" t="s">
        <v>55</v>
      </c>
      <c r="AH55" s="908"/>
      <c r="AI55" s="830">
        <f t="shared" si="15"/>
        <v>12600</v>
      </c>
      <c r="AJ55" s="969">
        <f>I55</f>
        <v>12600</v>
      </c>
      <c r="AK55" s="969"/>
      <c r="AM55" s="804">
        <f t="shared" si="8"/>
        <v>12600</v>
      </c>
      <c r="AN55" s="908"/>
      <c r="AR55" s="804">
        <f>I55/25</f>
        <v>504</v>
      </c>
      <c r="AS55" s="908"/>
      <c r="AT55" s="908"/>
      <c r="AU55" s="908"/>
      <c r="BC55" s="1105"/>
      <c r="BD55" s="1140"/>
      <c r="BE55" s="1105"/>
      <c r="BF55" s="1105"/>
      <c r="BG55" s="1105"/>
      <c r="BT55" s="805">
        <f t="shared" si="13"/>
        <v>504</v>
      </c>
      <c r="BU55" s="805">
        <f t="shared" si="14"/>
        <v>0</v>
      </c>
      <c r="BV55" s="291">
        <f t="shared" si="3"/>
        <v>443685</v>
      </c>
      <c r="BW55" s="975"/>
      <c r="BX55" s="975"/>
      <c r="BY55" s="975">
        <f t="shared" si="17"/>
        <v>416315</v>
      </c>
      <c r="CA55" s="975"/>
      <c r="CE55" s="975"/>
      <c r="CF55" s="975"/>
      <c r="CG55" s="975"/>
      <c r="CH55" s="975"/>
      <c r="CI55" s="975"/>
      <c r="CJ55" s="975"/>
    </row>
    <row r="56" s="804" customFormat="1" ht="31" hidden="1" customHeight="1" spans="1:105">
      <c r="A56" s="1104">
        <v>45919</v>
      </c>
      <c r="B56" s="959" t="s">
        <v>148</v>
      </c>
      <c r="C56" s="905" t="s">
        <v>149</v>
      </c>
      <c r="D56" s="959">
        <v>4500179977</v>
      </c>
      <c r="E56" s="908">
        <v>21169559</v>
      </c>
      <c r="F56" s="959" t="s">
        <v>367</v>
      </c>
      <c r="G56" s="1106" t="s">
        <v>151</v>
      </c>
      <c r="H56" s="905" t="s">
        <v>152</v>
      </c>
      <c r="I56" s="905">
        <v>1638</v>
      </c>
      <c r="J56" s="905">
        <v>0</v>
      </c>
      <c r="K56" s="905">
        <v>13</v>
      </c>
      <c r="L56" s="1114">
        <f t="shared" si="10"/>
        <v>126</v>
      </c>
      <c r="M56" s="928">
        <v>45964</v>
      </c>
      <c r="N56" s="1117">
        <v>45965</v>
      </c>
      <c r="O56" s="908"/>
      <c r="P56" s="1116" t="s">
        <v>46</v>
      </c>
      <c r="Q56" s="908" t="s">
        <v>368</v>
      </c>
      <c r="R56" s="941">
        <v>45930</v>
      </c>
      <c r="S56" s="941" t="s">
        <v>48</v>
      </c>
      <c r="T56" s="941" t="s">
        <v>333</v>
      </c>
      <c r="U56" s="943" t="s">
        <v>171</v>
      </c>
      <c r="V56" s="1124" t="s">
        <v>154</v>
      </c>
      <c r="W56" s="1125">
        <v>2.4275</v>
      </c>
      <c r="X56" s="1126">
        <f>W56*I56</f>
        <v>3976.245</v>
      </c>
      <c r="Y56" s="1136" t="s">
        <v>369</v>
      </c>
      <c r="Z56" s="1106" t="s">
        <v>151</v>
      </c>
      <c r="AA56" s="905" t="s">
        <v>53</v>
      </c>
      <c r="AB56" s="905" t="s">
        <v>54</v>
      </c>
      <c r="AC56" s="908"/>
      <c r="AD56" s="1132">
        <v>1638</v>
      </c>
      <c r="AE56" s="1132">
        <f t="shared" si="6"/>
        <v>0</v>
      </c>
      <c r="AF56" s="1133"/>
      <c r="AG56" s="908" t="s">
        <v>55</v>
      </c>
      <c r="AH56" s="908"/>
      <c r="AI56" s="830">
        <f t="shared" si="15"/>
        <v>1638</v>
      </c>
      <c r="AJ56" s="969">
        <f>I56</f>
        <v>1638</v>
      </c>
      <c r="AL56" s="969"/>
      <c r="AM56" s="804">
        <f t="shared" si="8"/>
        <v>1638</v>
      </c>
      <c r="AP56" s="804">
        <f>I56/13</f>
        <v>126</v>
      </c>
      <c r="BC56" s="1105"/>
      <c r="BD56" s="1105"/>
      <c r="BE56" s="1105"/>
      <c r="BF56" s="1105"/>
      <c r="BG56" s="1105"/>
      <c r="BL56" s="975"/>
      <c r="BM56" s="975"/>
      <c r="BN56" s="975"/>
      <c r="BO56" s="975"/>
      <c r="BP56" s="975"/>
      <c r="BQ56" s="975"/>
      <c r="BT56" s="805">
        <f t="shared" si="13"/>
        <v>0</v>
      </c>
      <c r="BU56" s="805">
        <f t="shared" si="14"/>
        <v>0</v>
      </c>
      <c r="BV56" s="291">
        <f t="shared" si="3"/>
        <v>445323</v>
      </c>
      <c r="BW56" s="975"/>
      <c r="BX56" s="975"/>
      <c r="BY56" s="975">
        <f t="shared" si="17"/>
        <v>414677</v>
      </c>
      <c r="BZ56" s="975"/>
      <c r="CA56" s="975"/>
      <c r="CF56" s="1138"/>
      <c r="CG56" s="1138"/>
      <c r="CH56" s="1138"/>
      <c r="CI56" s="1138"/>
      <c r="CJ56" s="1138"/>
      <c r="CK56" s="1138"/>
      <c r="CL56" s="1138"/>
      <c r="CM56" s="1138"/>
      <c r="CN56" s="1138"/>
      <c r="CO56" s="1138"/>
      <c r="CP56" s="1138"/>
      <c r="CQ56" s="1138"/>
      <c r="CR56" s="1138"/>
      <c r="CS56" s="1138"/>
      <c r="CT56" s="1138"/>
      <c r="CU56" s="1138"/>
      <c r="CV56" s="1138"/>
      <c r="CW56" s="1138"/>
      <c r="CX56" s="1138"/>
      <c r="CY56" s="1138"/>
      <c r="CZ56" s="1138"/>
      <c r="DA56" s="1138"/>
    </row>
    <row r="57" s="804" customFormat="1" ht="31" hidden="1" customHeight="1" spans="1:105">
      <c r="A57" s="1104">
        <v>45919</v>
      </c>
      <c r="B57" s="959" t="s">
        <v>157</v>
      </c>
      <c r="C57" s="905" t="s">
        <v>158</v>
      </c>
      <c r="D57" s="959">
        <v>4500179979</v>
      </c>
      <c r="E57" s="908">
        <v>21169560</v>
      </c>
      <c r="F57" s="959" t="s">
        <v>370</v>
      </c>
      <c r="G57" s="1106" t="s">
        <v>151</v>
      </c>
      <c r="H57" s="905" t="s">
        <v>152</v>
      </c>
      <c r="I57" s="905">
        <v>130</v>
      </c>
      <c r="J57" s="905">
        <v>0</v>
      </c>
      <c r="K57" s="905">
        <v>13</v>
      </c>
      <c r="L57" s="1114">
        <f t="shared" si="10"/>
        <v>10</v>
      </c>
      <c r="M57" s="928">
        <v>45964</v>
      </c>
      <c r="N57" s="1117">
        <v>45965</v>
      </c>
      <c r="O57" s="908"/>
      <c r="P57" s="1116" t="s">
        <v>46</v>
      </c>
      <c r="Q57" s="908" t="s">
        <v>368</v>
      </c>
      <c r="R57" s="941">
        <v>45930</v>
      </c>
      <c r="S57" s="941" t="s">
        <v>48</v>
      </c>
      <c r="T57" s="941" t="s">
        <v>333</v>
      </c>
      <c r="U57" s="943" t="s">
        <v>176</v>
      </c>
      <c r="V57" s="1124" t="s">
        <v>154</v>
      </c>
      <c r="W57" s="1125">
        <v>2.4275</v>
      </c>
      <c r="X57" s="1126">
        <f>W57*I57</f>
        <v>315.575</v>
      </c>
      <c r="Y57" s="908" t="s">
        <v>371</v>
      </c>
      <c r="Z57" s="1106" t="s">
        <v>151</v>
      </c>
      <c r="AA57" s="905" t="s">
        <v>53</v>
      </c>
      <c r="AB57" s="905" t="s">
        <v>54</v>
      </c>
      <c r="AC57" s="908"/>
      <c r="AD57" s="1132">
        <v>130</v>
      </c>
      <c r="AE57" s="1132">
        <f t="shared" si="6"/>
        <v>0</v>
      </c>
      <c r="AF57" s="1133"/>
      <c r="AG57" s="908" t="s">
        <v>55</v>
      </c>
      <c r="AH57" s="908"/>
      <c r="AI57" s="830">
        <f t="shared" si="15"/>
        <v>130</v>
      </c>
      <c r="AJ57" s="969">
        <f>I57</f>
        <v>130</v>
      </c>
      <c r="AL57" s="969"/>
      <c r="AM57" s="804">
        <f t="shared" si="8"/>
        <v>130</v>
      </c>
      <c r="AP57" s="804">
        <f>I57/13</f>
        <v>10</v>
      </c>
      <c r="BC57" s="1105"/>
      <c r="BD57" s="1105"/>
      <c r="BE57" s="1105"/>
      <c r="BF57" s="1105"/>
      <c r="BG57" s="1105"/>
      <c r="BL57" s="975"/>
      <c r="BM57" s="975"/>
      <c r="BN57" s="975"/>
      <c r="BO57" s="975"/>
      <c r="BP57" s="975"/>
      <c r="BQ57" s="975"/>
      <c r="BT57" s="805">
        <f t="shared" si="13"/>
        <v>0</v>
      </c>
      <c r="BU57" s="805">
        <f t="shared" si="14"/>
        <v>0</v>
      </c>
      <c r="BV57" s="291">
        <f t="shared" si="3"/>
        <v>445453</v>
      </c>
      <c r="BW57" s="975"/>
      <c r="BX57" s="975"/>
      <c r="BY57" s="975">
        <f t="shared" si="17"/>
        <v>414547</v>
      </c>
      <c r="BZ57" s="975"/>
      <c r="CA57" s="975"/>
      <c r="CF57" s="1138"/>
      <c r="CG57" s="1138"/>
      <c r="CH57" s="1138"/>
      <c r="CI57" s="1138"/>
      <c r="CJ57" s="1138"/>
      <c r="CK57" s="1138"/>
      <c r="CL57" s="1138"/>
      <c r="CM57" s="1138"/>
      <c r="CN57" s="1138"/>
      <c r="CO57" s="1138"/>
      <c r="CP57" s="1138"/>
      <c r="CQ57" s="1138"/>
      <c r="CR57" s="1138"/>
      <c r="CS57" s="1138"/>
      <c r="CT57" s="1138"/>
      <c r="CU57" s="1138"/>
      <c r="CV57" s="1138"/>
      <c r="CW57" s="1138"/>
      <c r="CX57" s="1138"/>
      <c r="CY57" s="1138"/>
      <c r="CZ57" s="1138"/>
      <c r="DA57" s="1138"/>
    </row>
    <row r="58" s="804" customFormat="1" ht="32" hidden="1" customHeight="1" spans="1:88">
      <c r="A58" s="903">
        <v>45918</v>
      </c>
      <c r="B58" s="1108" t="s">
        <v>372</v>
      </c>
      <c r="C58" s="1110" t="s">
        <v>84</v>
      </c>
      <c r="D58" s="906">
        <v>4500179751</v>
      </c>
      <c r="E58" s="904" t="s">
        <v>373</v>
      </c>
      <c r="F58" s="906" t="s">
        <v>374</v>
      </c>
      <c r="G58" s="908" t="s">
        <v>375</v>
      </c>
      <c r="H58" s="1106" t="s">
        <v>376</v>
      </c>
      <c r="I58" s="905">
        <v>3000</v>
      </c>
      <c r="J58" s="905">
        <v>0</v>
      </c>
      <c r="K58" s="905">
        <v>12</v>
      </c>
      <c r="L58" s="1114">
        <f t="shared" si="10"/>
        <v>250</v>
      </c>
      <c r="M58" s="928">
        <v>45953</v>
      </c>
      <c r="N58" s="928">
        <v>45950</v>
      </c>
      <c r="O58" s="908" t="s">
        <v>377</v>
      </c>
      <c r="P58" s="1116" t="s">
        <v>46</v>
      </c>
      <c r="Q58" s="908" t="s">
        <v>378</v>
      </c>
      <c r="R58" s="941">
        <v>45918</v>
      </c>
      <c r="S58" s="941" t="s">
        <v>48</v>
      </c>
      <c r="T58" s="941" t="s">
        <v>379</v>
      </c>
      <c r="U58" s="943" t="s">
        <v>380</v>
      </c>
      <c r="V58" s="928" t="s">
        <v>89</v>
      </c>
      <c r="W58" s="1125">
        <v>2.892</v>
      </c>
      <c r="X58" s="1126">
        <f>W58*I58</f>
        <v>8676</v>
      </c>
      <c r="Y58" s="908" t="s">
        <v>381</v>
      </c>
      <c r="Z58" s="908" t="s">
        <v>375</v>
      </c>
      <c r="AA58" s="905" t="s">
        <v>53</v>
      </c>
      <c r="AB58" s="905" t="s">
        <v>54</v>
      </c>
      <c r="AC58" s="908"/>
      <c r="AD58" s="958">
        <v>3000</v>
      </c>
      <c r="AE58" s="1132">
        <f t="shared" si="6"/>
        <v>0</v>
      </c>
      <c r="AF58" s="1133"/>
      <c r="AG58" s="908" t="s">
        <v>55</v>
      </c>
      <c r="AH58" s="908"/>
      <c r="AI58" s="908">
        <f>I58*2</f>
        <v>6000</v>
      </c>
      <c r="AK58" s="969">
        <f>I58*2</f>
        <v>6000</v>
      </c>
      <c r="AM58" s="804">
        <f>I58*2</f>
        <v>6000</v>
      </c>
      <c r="AN58" s="908"/>
      <c r="AR58" s="908"/>
      <c r="AS58" s="908"/>
      <c r="AT58" s="908"/>
      <c r="AU58" s="908"/>
      <c r="BC58" s="1105"/>
      <c r="BD58" s="1140"/>
      <c r="BE58" s="1105"/>
      <c r="BF58" s="1105"/>
      <c r="BG58" s="1105"/>
      <c r="BH58" s="804">
        <f>I58</f>
        <v>3000</v>
      </c>
      <c r="BI58" s="804">
        <f>I58</f>
        <v>3000</v>
      </c>
      <c r="BJ58" s="804">
        <f>I58</f>
        <v>3000</v>
      </c>
      <c r="BT58" s="805">
        <f t="shared" si="13"/>
        <v>0</v>
      </c>
      <c r="BU58" s="805">
        <f t="shared" si="14"/>
        <v>0</v>
      </c>
      <c r="BV58" s="291">
        <f t="shared" si="3"/>
        <v>451453</v>
      </c>
      <c r="BW58" s="975"/>
      <c r="BX58" s="975"/>
      <c r="BY58" s="975">
        <f t="shared" si="17"/>
        <v>408547</v>
      </c>
      <c r="CA58" s="975"/>
      <c r="CE58" s="975"/>
      <c r="CF58" s="975"/>
      <c r="CG58" s="975"/>
      <c r="CH58" s="975"/>
      <c r="CI58" s="975"/>
      <c r="CJ58" s="975"/>
    </row>
    <row r="59" s="804" customFormat="1" ht="31" hidden="1" customHeight="1" spans="1:105">
      <c r="A59" s="1111">
        <v>45904</v>
      </c>
      <c r="B59" s="959" t="s">
        <v>162</v>
      </c>
      <c r="C59" s="905" t="s">
        <v>84</v>
      </c>
      <c r="D59" s="959">
        <v>4500178842</v>
      </c>
      <c r="E59" s="908" t="s">
        <v>382</v>
      </c>
      <c r="F59" s="959" t="s">
        <v>383</v>
      </c>
      <c r="G59" s="1106" t="s">
        <v>187</v>
      </c>
      <c r="H59" s="905" t="s">
        <v>188</v>
      </c>
      <c r="I59" s="905">
        <v>81500</v>
      </c>
      <c r="J59" s="905">
        <v>0</v>
      </c>
      <c r="K59" s="905">
        <v>25</v>
      </c>
      <c r="L59" s="1114">
        <f t="shared" si="10"/>
        <v>3260</v>
      </c>
      <c r="M59" s="928">
        <v>45960</v>
      </c>
      <c r="N59" s="1117">
        <v>45961</v>
      </c>
      <c r="O59" s="908"/>
      <c r="P59" s="1116" t="s">
        <v>46</v>
      </c>
      <c r="Q59" s="908" t="s">
        <v>384</v>
      </c>
      <c r="R59" s="941">
        <v>45919</v>
      </c>
      <c r="S59" s="941" t="s">
        <v>304</v>
      </c>
      <c r="T59" s="941">
        <v>45946</v>
      </c>
      <c r="U59" s="943" t="s">
        <v>385</v>
      </c>
      <c r="V59" s="1124" t="s">
        <v>168</v>
      </c>
      <c r="W59" s="1125">
        <v>1.5848</v>
      </c>
      <c r="X59" s="1126">
        <f>I59*W59</f>
        <v>129161.2</v>
      </c>
      <c r="Y59" s="908" t="s">
        <v>386</v>
      </c>
      <c r="Z59" s="1106" t="s">
        <v>187</v>
      </c>
      <c r="AA59" s="905" t="s">
        <v>53</v>
      </c>
      <c r="AB59" s="905" t="s">
        <v>54</v>
      </c>
      <c r="AC59" s="908"/>
      <c r="AD59" s="958">
        <f>4500+2250+4500+27000+6750+9000</f>
        <v>54000</v>
      </c>
      <c r="AE59" s="1132">
        <f t="shared" si="6"/>
        <v>-27500</v>
      </c>
      <c r="AF59" s="1133"/>
      <c r="AG59" s="908" t="s">
        <v>55</v>
      </c>
      <c r="AH59" s="908"/>
      <c r="AI59" s="830">
        <f t="shared" ref="AI59:AI90" si="18">I59</f>
        <v>81500</v>
      </c>
      <c r="AJ59" s="969">
        <f t="shared" ref="AJ59:AJ76" si="19">I59</f>
        <v>81500</v>
      </c>
      <c r="AL59" s="969"/>
      <c r="AM59" s="804">
        <f t="shared" ref="AM59:AM74" si="20">I59</f>
        <v>81500</v>
      </c>
      <c r="AR59" s="804">
        <f>I59/25</f>
        <v>3260</v>
      </c>
      <c r="BC59" s="1105"/>
      <c r="BD59" s="1105"/>
      <c r="BE59" s="1105"/>
      <c r="BF59" s="1105"/>
      <c r="BG59" s="1105"/>
      <c r="BL59" s="975"/>
      <c r="BM59" s="975"/>
      <c r="BN59" s="975"/>
      <c r="BO59" s="975"/>
      <c r="BP59" s="975"/>
      <c r="BQ59" s="975"/>
      <c r="BT59" s="805">
        <f t="shared" si="13"/>
        <v>3260</v>
      </c>
      <c r="BU59" s="805">
        <f t="shared" si="14"/>
        <v>0</v>
      </c>
      <c r="BV59" s="291">
        <f t="shared" si="3"/>
        <v>532953</v>
      </c>
      <c r="BW59" s="975"/>
      <c r="BX59" s="975"/>
      <c r="BY59" s="975">
        <f t="shared" si="17"/>
        <v>327047</v>
      </c>
      <c r="BZ59" s="975"/>
      <c r="CA59" s="975"/>
      <c r="CF59" s="1138"/>
      <c r="CG59" s="1138"/>
      <c r="CH59" s="1138"/>
      <c r="CI59" s="1138"/>
      <c r="CJ59" s="1138"/>
      <c r="CK59" s="1138"/>
      <c r="CL59" s="1138"/>
      <c r="CM59" s="1138"/>
      <c r="CN59" s="1138"/>
      <c r="CO59" s="1138"/>
      <c r="CP59" s="1138"/>
      <c r="CQ59" s="1138"/>
      <c r="CR59" s="1138"/>
      <c r="CS59" s="1138"/>
      <c r="CT59" s="1138"/>
      <c r="CU59" s="1138"/>
      <c r="CV59" s="1138"/>
      <c r="CW59" s="1138"/>
      <c r="CX59" s="1138"/>
      <c r="CY59" s="1138"/>
      <c r="CZ59" s="1138"/>
      <c r="DA59" s="1138"/>
    </row>
    <row r="60" s="804" customFormat="1" ht="31" hidden="1" customHeight="1" spans="1:105">
      <c r="A60" s="1104">
        <v>45926</v>
      </c>
      <c r="B60" s="959" t="s">
        <v>387</v>
      </c>
      <c r="C60" s="905" t="s">
        <v>84</v>
      </c>
      <c r="D60" s="959">
        <v>4500180563</v>
      </c>
      <c r="E60" s="908" t="s">
        <v>388</v>
      </c>
      <c r="F60" s="959" t="s">
        <v>389</v>
      </c>
      <c r="G60" s="1106" t="s">
        <v>390</v>
      </c>
      <c r="H60" s="905" t="s">
        <v>391</v>
      </c>
      <c r="I60" s="905">
        <v>3810</v>
      </c>
      <c r="J60" s="905">
        <v>0</v>
      </c>
      <c r="K60" s="905">
        <v>30</v>
      </c>
      <c r="L60" s="1114">
        <f t="shared" si="10"/>
        <v>127</v>
      </c>
      <c r="M60" s="928">
        <v>45965</v>
      </c>
      <c r="N60" s="1117">
        <v>45964</v>
      </c>
      <c r="O60" s="928" t="s">
        <v>392</v>
      </c>
      <c r="P60" s="1116" t="s">
        <v>46</v>
      </c>
      <c r="Q60" s="950" t="s">
        <v>393</v>
      </c>
      <c r="R60" s="941">
        <v>45926</v>
      </c>
      <c r="S60" s="941" t="s">
        <v>58</v>
      </c>
      <c r="T60" s="941" t="s">
        <v>58</v>
      </c>
      <c r="U60" s="943" t="s">
        <v>394</v>
      </c>
      <c r="V60" s="1124" t="s">
        <v>395</v>
      </c>
      <c r="W60" s="1125">
        <v>41.52</v>
      </c>
      <c r="X60" s="1126">
        <f>W60*L60</f>
        <v>5273.04</v>
      </c>
      <c r="Y60" s="908" t="s">
        <v>396</v>
      </c>
      <c r="Z60" s="1106" t="s">
        <v>397</v>
      </c>
      <c r="AA60" s="905" t="s">
        <v>53</v>
      </c>
      <c r="AB60" s="905" t="s">
        <v>54</v>
      </c>
      <c r="AC60" s="908"/>
      <c r="AD60" s="1132">
        <f>930+2880</f>
        <v>3810</v>
      </c>
      <c r="AE60" s="1132">
        <f t="shared" si="6"/>
        <v>0</v>
      </c>
      <c r="AF60" s="1133"/>
      <c r="AG60" s="908" t="s">
        <v>58</v>
      </c>
      <c r="AH60" s="908"/>
      <c r="AI60" s="830">
        <f t="shared" si="18"/>
        <v>3810</v>
      </c>
      <c r="AJ60" s="905">
        <f t="shared" si="19"/>
        <v>3810</v>
      </c>
      <c r="AL60" s="969"/>
      <c r="AM60" s="804">
        <f t="shared" si="20"/>
        <v>3810</v>
      </c>
      <c r="AP60" s="1138"/>
      <c r="BC60" s="1105"/>
      <c r="BD60" s="1105"/>
      <c r="BE60" s="1105"/>
      <c r="BF60" s="1105"/>
      <c r="BG60" s="1105">
        <f>I60/K60</f>
        <v>127</v>
      </c>
      <c r="BL60" s="975"/>
      <c r="BM60" s="975"/>
      <c r="BN60" s="975"/>
      <c r="BO60" s="975"/>
      <c r="BP60" s="975"/>
      <c r="BQ60" s="975"/>
      <c r="BT60" s="805">
        <f t="shared" si="13"/>
        <v>0</v>
      </c>
      <c r="BU60" s="805">
        <f t="shared" si="14"/>
        <v>127</v>
      </c>
      <c r="BV60" s="291">
        <f t="shared" si="3"/>
        <v>536763</v>
      </c>
      <c r="BW60" s="975"/>
      <c r="BX60" s="975"/>
      <c r="BY60" s="975">
        <f t="shared" si="17"/>
        <v>323237</v>
      </c>
      <c r="BZ60" s="975"/>
      <c r="CA60" s="975"/>
      <c r="CF60" s="1138"/>
      <c r="CG60" s="1138"/>
      <c r="CH60" s="1138"/>
      <c r="CI60" s="1138"/>
      <c r="CJ60" s="1138"/>
      <c r="CK60" s="1138"/>
      <c r="CL60" s="1138"/>
      <c r="CM60" s="1138"/>
      <c r="CN60" s="1138"/>
      <c r="CO60" s="1138"/>
      <c r="CP60" s="1138"/>
      <c r="CQ60" s="1138"/>
      <c r="CR60" s="1138"/>
      <c r="CS60" s="1138"/>
      <c r="CT60" s="1138"/>
      <c r="CU60" s="1138"/>
      <c r="CV60" s="1138"/>
      <c r="CW60" s="1138"/>
      <c r="CX60" s="1138"/>
      <c r="CY60" s="1138"/>
      <c r="CZ60" s="1138"/>
      <c r="DA60" s="1138"/>
    </row>
    <row r="61" s="804" customFormat="1" ht="31" hidden="1" customHeight="1" spans="1:105">
      <c r="A61" s="1104">
        <v>45926</v>
      </c>
      <c r="B61" s="959" t="s">
        <v>387</v>
      </c>
      <c r="C61" s="905" t="s">
        <v>84</v>
      </c>
      <c r="D61" s="959">
        <v>4500180563</v>
      </c>
      <c r="E61" s="908" t="s">
        <v>398</v>
      </c>
      <c r="F61" s="959" t="s">
        <v>399</v>
      </c>
      <c r="G61" s="1106" t="s">
        <v>390</v>
      </c>
      <c r="H61" s="905" t="s">
        <v>391</v>
      </c>
      <c r="I61" s="905">
        <v>9480</v>
      </c>
      <c r="J61" s="905">
        <v>0</v>
      </c>
      <c r="K61" s="905">
        <v>30</v>
      </c>
      <c r="L61" s="1114">
        <f t="shared" si="10"/>
        <v>316</v>
      </c>
      <c r="M61" s="928">
        <v>45965</v>
      </c>
      <c r="N61" s="1117">
        <v>45964</v>
      </c>
      <c r="O61" s="928" t="s">
        <v>392</v>
      </c>
      <c r="P61" s="1116" t="s">
        <v>46</v>
      </c>
      <c r="Q61" s="908" t="s">
        <v>400</v>
      </c>
      <c r="R61" s="941">
        <v>45926</v>
      </c>
      <c r="S61" s="941" t="s">
        <v>58</v>
      </c>
      <c r="T61" s="941" t="s">
        <v>58</v>
      </c>
      <c r="U61" s="943" t="s">
        <v>394</v>
      </c>
      <c r="V61" s="1124" t="s">
        <v>395</v>
      </c>
      <c r="W61" s="1125">
        <v>41.52</v>
      </c>
      <c r="X61" s="1126">
        <f>W61*L61</f>
        <v>13120.32</v>
      </c>
      <c r="Y61" s="908" t="s">
        <v>401</v>
      </c>
      <c r="Z61" s="1106" t="s">
        <v>397</v>
      </c>
      <c r="AA61" s="905" t="s">
        <v>53</v>
      </c>
      <c r="AB61" s="905" t="s">
        <v>54</v>
      </c>
      <c r="AC61" s="908"/>
      <c r="AD61" s="1132">
        <v>9480</v>
      </c>
      <c r="AE61" s="1132">
        <f t="shared" si="6"/>
        <v>0</v>
      </c>
      <c r="AF61" s="1133"/>
      <c r="AG61" s="908" t="s">
        <v>58</v>
      </c>
      <c r="AH61" s="908"/>
      <c r="AI61" s="830">
        <f t="shared" si="18"/>
        <v>9480</v>
      </c>
      <c r="AJ61" s="905">
        <f t="shared" si="19"/>
        <v>9480</v>
      </c>
      <c r="AL61" s="969"/>
      <c r="AM61" s="804">
        <f t="shared" si="20"/>
        <v>9480</v>
      </c>
      <c r="AP61" s="1138"/>
      <c r="BC61" s="1105"/>
      <c r="BD61" s="1105"/>
      <c r="BE61" s="1105"/>
      <c r="BF61" s="1105"/>
      <c r="BG61" s="1105">
        <f>I61/K61</f>
        <v>316</v>
      </c>
      <c r="BL61" s="975"/>
      <c r="BM61" s="975"/>
      <c r="BN61" s="975"/>
      <c r="BO61" s="975"/>
      <c r="BP61" s="975"/>
      <c r="BQ61" s="975"/>
      <c r="BT61" s="805">
        <f t="shared" si="13"/>
        <v>0</v>
      </c>
      <c r="BU61" s="805">
        <f t="shared" si="14"/>
        <v>316</v>
      </c>
      <c r="BV61" s="291">
        <f t="shared" si="3"/>
        <v>546243</v>
      </c>
      <c r="BW61" s="975"/>
      <c r="BX61" s="975"/>
      <c r="BY61" s="975">
        <f t="shared" si="17"/>
        <v>313757</v>
      </c>
      <c r="BZ61" s="975"/>
      <c r="CA61" s="975"/>
      <c r="CF61" s="1138"/>
      <c r="CG61" s="1138"/>
      <c r="CH61" s="1138"/>
      <c r="CI61" s="1138"/>
      <c r="CJ61" s="1138"/>
      <c r="CK61" s="1138"/>
      <c r="CL61" s="1138"/>
      <c r="CM61" s="1138"/>
      <c r="CN61" s="1138"/>
      <c r="CO61" s="1138"/>
      <c r="CP61" s="1138"/>
      <c r="CQ61" s="1138"/>
      <c r="CR61" s="1138"/>
      <c r="CS61" s="1138"/>
      <c r="CT61" s="1138"/>
      <c r="CU61" s="1138"/>
      <c r="CV61" s="1138"/>
      <c r="CW61" s="1138"/>
      <c r="CX61" s="1138"/>
      <c r="CY61" s="1138"/>
      <c r="CZ61" s="1138"/>
      <c r="DA61" s="1138"/>
    </row>
    <row r="62" s="804" customFormat="1" ht="31" hidden="1" customHeight="1" spans="1:105">
      <c r="A62" s="1104">
        <v>45926</v>
      </c>
      <c r="B62" s="959" t="s">
        <v>387</v>
      </c>
      <c r="C62" s="905" t="s">
        <v>84</v>
      </c>
      <c r="D62" s="959">
        <v>4500180563</v>
      </c>
      <c r="E62" s="908" t="s">
        <v>402</v>
      </c>
      <c r="F62" s="959" t="s">
        <v>403</v>
      </c>
      <c r="G62" s="1106" t="s">
        <v>390</v>
      </c>
      <c r="H62" s="905" t="s">
        <v>391</v>
      </c>
      <c r="I62" s="905">
        <v>5190</v>
      </c>
      <c r="J62" s="905">
        <v>0</v>
      </c>
      <c r="K62" s="905">
        <v>30</v>
      </c>
      <c r="L62" s="1114">
        <f t="shared" si="10"/>
        <v>173</v>
      </c>
      <c r="M62" s="928">
        <v>45965</v>
      </c>
      <c r="N62" s="1117">
        <v>45964</v>
      </c>
      <c r="O62" s="928" t="s">
        <v>392</v>
      </c>
      <c r="P62" s="1116" t="s">
        <v>46</v>
      </c>
      <c r="Q62" s="908" t="s">
        <v>400</v>
      </c>
      <c r="R62" s="941">
        <v>45926</v>
      </c>
      <c r="S62" s="941" t="s">
        <v>58</v>
      </c>
      <c r="T62" s="941" t="s">
        <v>58</v>
      </c>
      <c r="U62" s="943" t="s">
        <v>394</v>
      </c>
      <c r="V62" s="1124" t="s">
        <v>395</v>
      </c>
      <c r="W62" s="1125">
        <v>41.52</v>
      </c>
      <c r="X62" s="1126">
        <f>W62*L62</f>
        <v>7182.96</v>
      </c>
      <c r="Y62" s="908" t="s">
        <v>404</v>
      </c>
      <c r="Z62" s="1106" t="s">
        <v>397</v>
      </c>
      <c r="AA62" s="905" t="s">
        <v>53</v>
      </c>
      <c r="AB62" s="905" t="s">
        <v>54</v>
      </c>
      <c r="AC62" s="908"/>
      <c r="AD62" s="1132">
        <v>5190</v>
      </c>
      <c r="AE62" s="1132">
        <f t="shared" si="6"/>
        <v>0</v>
      </c>
      <c r="AF62" s="1133"/>
      <c r="AG62" s="908" t="s">
        <v>58</v>
      </c>
      <c r="AH62" s="908"/>
      <c r="AI62" s="830">
        <f t="shared" si="18"/>
        <v>5190</v>
      </c>
      <c r="AJ62" s="905">
        <f t="shared" si="19"/>
        <v>5190</v>
      </c>
      <c r="AL62" s="969"/>
      <c r="AM62" s="804">
        <f t="shared" si="20"/>
        <v>5190</v>
      </c>
      <c r="AP62" s="1138"/>
      <c r="BC62" s="1105"/>
      <c r="BD62" s="1105"/>
      <c r="BE62" s="1105"/>
      <c r="BF62" s="1105"/>
      <c r="BG62" s="1105">
        <f>I62/K62</f>
        <v>173</v>
      </c>
      <c r="BL62" s="975"/>
      <c r="BM62" s="975"/>
      <c r="BN62" s="975"/>
      <c r="BO62" s="975"/>
      <c r="BP62" s="975"/>
      <c r="BQ62" s="975"/>
      <c r="BT62" s="805">
        <f t="shared" si="13"/>
        <v>0</v>
      </c>
      <c r="BU62" s="805">
        <f t="shared" si="14"/>
        <v>173</v>
      </c>
      <c r="BV62" s="291">
        <f t="shared" si="3"/>
        <v>551433</v>
      </c>
      <c r="BW62" s="975"/>
      <c r="BX62" s="975"/>
      <c r="BY62" s="975">
        <f t="shared" si="17"/>
        <v>308567</v>
      </c>
      <c r="BZ62" s="975"/>
      <c r="CA62" s="975"/>
      <c r="CF62" s="1138"/>
      <c r="CG62" s="1138"/>
      <c r="CH62" s="1138"/>
      <c r="CI62" s="1138"/>
      <c r="CJ62" s="1138"/>
      <c r="CK62" s="1138"/>
      <c r="CL62" s="1138"/>
      <c r="CM62" s="1138"/>
      <c r="CN62" s="1138"/>
      <c r="CO62" s="1138"/>
      <c r="CP62" s="1138"/>
      <c r="CQ62" s="1138"/>
      <c r="CR62" s="1138"/>
      <c r="CS62" s="1138"/>
      <c r="CT62" s="1138"/>
      <c r="CU62" s="1138"/>
      <c r="CV62" s="1138"/>
      <c r="CW62" s="1138"/>
      <c r="CX62" s="1138"/>
      <c r="CY62" s="1138"/>
      <c r="CZ62" s="1138"/>
      <c r="DA62" s="1138"/>
    </row>
    <row r="63" s="804" customFormat="1" ht="31" hidden="1" customHeight="1" spans="1:105">
      <c r="A63" s="1104">
        <v>45926</v>
      </c>
      <c r="B63" s="959" t="s">
        <v>387</v>
      </c>
      <c r="C63" s="905" t="s">
        <v>84</v>
      </c>
      <c r="D63" s="959">
        <v>4500180563</v>
      </c>
      <c r="E63" s="908" t="s">
        <v>405</v>
      </c>
      <c r="F63" s="959" t="s">
        <v>406</v>
      </c>
      <c r="G63" s="1106" t="s">
        <v>390</v>
      </c>
      <c r="H63" s="905" t="s">
        <v>391</v>
      </c>
      <c r="I63" s="905">
        <v>3030</v>
      </c>
      <c r="J63" s="905">
        <v>0</v>
      </c>
      <c r="K63" s="905">
        <v>30</v>
      </c>
      <c r="L63" s="1114">
        <f t="shared" si="10"/>
        <v>101</v>
      </c>
      <c r="M63" s="928">
        <v>45967</v>
      </c>
      <c r="N63" s="1117">
        <v>45966</v>
      </c>
      <c r="O63" s="928" t="s">
        <v>392</v>
      </c>
      <c r="P63" s="1116" t="s">
        <v>46</v>
      </c>
      <c r="Q63" s="908" t="s">
        <v>407</v>
      </c>
      <c r="R63" s="941">
        <v>45926</v>
      </c>
      <c r="S63" s="941" t="s">
        <v>58</v>
      </c>
      <c r="T63" s="941" t="s">
        <v>58</v>
      </c>
      <c r="U63" s="943" t="s">
        <v>394</v>
      </c>
      <c r="V63" s="1124" t="s">
        <v>395</v>
      </c>
      <c r="W63" s="1125">
        <v>41.52</v>
      </c>
      <c r="X63" s="1126">
        <f>W63*L63</f>
        <v>4193.52</v>
      </c>
      <c r="Y63" s="908" t="s">
        <v>408</v>
      </c>
      <c r="Z63" s="1106" t="s">
        <v>397</v>
      </c>
      <c r="AA63" s="905" t="s">
        <v>53</v>
      </c>
      <c r="AB63" s="905" t="s">
        <v>54</v>
      </c>
      <c r="AC63" s="908"/>
      <c r="AD63" s="1132">
        <v>3030</v>
      </c>
      <c r="AE63" s="1132">
        <f t="shared" si="6"/>
        <v>0</v>
      </c>
      <c r="AF63" s="1133"/>
      <c r="AG63" s="908" t="s">
        <v>58</v>
      </c>
      <c r="AH63" s="908"/>
      <c r="AI63" s="830">
        <f t="shared" si="18"/>
        <v>3030</v>
      </c>
      <c r="AJ63" s="905">
        <f t="shared" si="19"/>
        <v>3030</v>
      </c>
      <c r="AL63" s="969"/>
      <c r="AM63" s="804">
        <f t="shared" si="20"/>
        <v>3030</v>
      </c>
      <c r="AP63" s="1138"/>
      <c r="BC63" s="1105"/>
      <c r="BD63" s="1105"/>
      <c r="BE63" s="1105"/>
      <c r="BF63" s="1105"/>
      <c r="BG63" s="1105">
        <f>I63/K63</f>
        <v>101</v>
      </c>
      <c r="BL63" s="975"/>
      <c r="BM63" s="975"/>
      <c r="BN63" s="975"/>
      <c r="BO63" s="975"/>
      <c r="BP63" s="975"/>
      <c r="BQ63" s="975"/>
      <c r="BT63" s="805">
        <f t="shared" si="13"/>
        <v>0</v>
      </c>
      <c r="BU63" s="805">
        <f t="shared" si="14"/>
        <v>101</v>
      </c>
      <c r="BV63" s="291">
        <f t="shared" si="3"/>
        <v>554463</v>
      </c>
      <c r="BW63" s="975"/>
      <c r="BX63" s="975"/>
      <c r="BY63" s="975">
        <f t="shared" si="17"/>
        <v>305537</v>
      </c>
      <c r="BZ63" s="975"/>
      <c r="CA63" s="975"/>
      <c r="CF63" s="1138"/>
      <c r="CG63" s="1138"/>
      <c r="CH63" s="1138"/>
      <c r="CI63" s="1138"/>
      <c r="CJ63" s="1138"/>
      <c r="CK63" s="1138"/>
      <c r="CL63" s="1138"/>
      <c r="CM63" s="1138"/>
      <c r="CN63" s="1138"/>
      <c r="CO63" s="1138"/>
      <c r="CP63" s="1138"/>
      <c r="CQ63" s="1138"/>
      <c r="CR63" s="1138"/>
      <c r="CS63" s="1138"/>
      <c r="CT63" s="1138"/>
      <c r="CU63" s="1138"/>
      <c r="CV63" s="1138"/>
      <c r="CW63" s="1138"/>
      <c r="CX63" s="1138"/>
      <c r="CY63" s="1138"/>
      <c r="CZ63" s="1138"/>
      <c r="DA63" s="1138"/>
    </row>
    <row r="64" s="804" customFormat="1" ht="31" hidden="1" customHeight="1" spans="1:105">
      <c r="A64" s="1104">
        <v>45905</v>
      </c>
      <c r="B64" s="959" t="s">
        <v>409</v>
      </c>
      <c r="C64" s="1105" t="s">
        <v>410</v>
      </c>
      <c r="D64" s="959">
        <v>4500178966</v>
      </c>
      <c r="E64" s="908" t="s">
        <v>411</v>
      </c>
      <c r="F64" s="959" t="s">
        <v>412</v>
      </c>
      <c r="G64" s="1106" t="s">
        <v>145</v>
      </c>
      <c r="H64" s="905" t="s">
        <v>137</v>
      </c>
      <c r="I64" s="905">
        <v>780</v>
      </c>
      <c r="J64" s="905">
        <v>0</v>
      </c>
      <c r="K64" s="905">
        <v>52</v>
      </c>
      <c r="L64" s="1114">
        <f t="shared" si="10"/>
        <v>15</v>
      </c>
      <c r="M64" s="928">
        <v>45957</v>
      </c>
      <c r="N64" s="1117">
        <v>45971</v>
      </c>
      <c r="O64" s="928"/>
      <c r="P64" s="1116" t="s">
        <v>46</v>
      </c>
      <c r="Q64" s="928" t="s">
        <v>413</v>
      </c>
      <c r="R64" s="941">
        <v>45905</v>
      </c>
      <c r="S64" s="941" t="s">
        <v>58</v>
      </c>
      <c r="T64" s="941">
        <v>45917</v>
      </c>
      <c r="U64" s="949" t="s">
        <v>414</v>
      </c>
      <c r="V64" s="1124" t="s">
        <v>328</v>
      </c>
      <c r="W64" s="1125">
        <v>2.15</v>
      </c>
      <c r="X64" s="1126">
        <f>W64*I64</f>
        <v>1677</v>
      </c>
      <c r="Y64" s="908" t="s">
        <v>415</v>
      </c>
      <c r="Z64" s="1106" t="s">
        <v>145</v>
      </c>
      <c r="AA64" s="905" t="s">
        <v>53</v>
      </c>
      <c r="AB64" s="905" t="s">
        <v>54</v>
      </c>
      <c r="AC64" s="908"/>
      <c r="AD64" s="1132">
        <v>780</v>
      </c>
      <c r="AE64" s="1132">
        <f t="shared" si="6"/>
        <v>0</v>
      </c>
      <c r="AF64" s="1133"/>
      <c r="AG64" s="908" t="s">
        <v>55</v>
      </c>
      <c r="AH64" s="908"/>
      <c r="AI64" s="830">
        <f t="shared" si="18"/>
        <v>780</v>
      </c>
      <c r="AJ64" s="969">
        <f t="shared" si="19"/>
        <v>780</v>
      </c>
      <c r="AL64" s="969"/>
      <c r="AM64" s="804">
        <f t="shared" si="20"/>
        <v>780</v>
      </c>
      <c r="AP64" s="804">
        <f>I64/13</f>
        <v>60</v>
      </c>
      <c r="BC64" s="1105"/>
      <c r="BD64" s="1105"/>
      <c r="BE64" s="1105"/>
      <c r="BF64" s="1105"/>
      <c r="BG64" s="1105"/>
      <c r="BL64" s="975"/>
      <c r="BM64" s="975"/>
      <c r="BN64" s="975"/>
      <c r="BO64" s="975"/>
      <c r="BP64" s="975"/>
      <c r="BQ64" s="975"/>
      <c r="BT64" s="805">
        <f t="shared" si="13"/>
        <v>0</v>
      </c>
      <c r="BU64" s="805">
        <f t="shared" si="14"/>
        <v>0</v>
      </c>
      <c r="BV64" s="291">
        <f t="shared" si="3"/>
        <v>555243</v>
      </c>
      <c r="BW64" s="975"/>
      <c r="BX64" s="975"/>
      <c r="BY64" s="975">
        <f t="shared" si="17"/>
        <v>304757</v>
      </c>
      <c r="BZ64" s="975"/>
      <c r="CA64" s="975"/>
      <c r="CF64" s="1138"/>
      <c r="CG64" s="1138"/>
      <c r="CH64" s="1138"/>
      <c r="CI64" s="1138"/>
      <c r="CJ64" s="1138"/>
      <c r="CK64" s="1138"/>
      <c r="CL64" s="1138"/>
      <c r="CM64" s="1138"/>
      <c r="CN64" s="1138"/>
      <c r="CO64" s="1138"/>
      <c r="CP64" s="1138"/>
      <c r="CQ64" s="1138"/>
      <c r="CR64" s="1138"/>
      <c r="CS64" s="1138"/>
      <c r="CT64" s="1138"/>
      <c r="CU64" s="1138"/>
      <c r="CV64" s="1138"/>
      <c r="CW64" s="1138"/>
      <c r="CX64" s="1138"/>
      <c r="CY64" s="1138"/>
      <c r="CZ64" s="1138"/>
      <c r="DA64" s="1138"/>
    </row>
    <row r="65" s="804" customFormat="1" ht="31" hidden="1" customHeight="1" spans="1:105">
      <c r="A65" s="1104">
        <v>45929</v>
      </c>
      <c r="B65" s="959" t="s">
        <v>199</v>
      </c>
      <c r="C65" s="905" t="s">
        <v>84</v>
      </c>
      <c r="D65" s="959">
        <v>4500180990</v>
      </c>
      <c r="E65" s="1294" t="s">
        <v>416</v>
      </c>
      <c r="F65" s="959" t="s">
        <v>417</v>
      </c>
      <c r="G65" s="1106" t="s">
        <v>202</v>
      </c>
      <c r="H65" s="905" t="s">
        <v>203</v>
      </c>
      <c r="I65" s="905">
        <v>960</v>
      </c>
      <c r="J65" s="905">
        <v>0</v>
      </c>
      <c r="K65" s="905">
        <v>16</v>
      </c>
      <c r="L65" s="1114">
        <f t="shared" si="10"/>
        <v>60</v>
      </c>
      <c r="M65" s="928">
        <v>45965</v>
      </c>
      <c r="N65" s="1117">
        <v>45967</v>
      </c>
      <c r="O65" s="908" t="s">
        <v>418</v>
      </c>
      <c r="P65" s="1116" t="s">
        <v>46</v>
      </c>
      <c r="Q65" s="908" t="s">
        <v>419</v>
      </c>
      <c r="R65" s="941" t="s">
        <v>251</v>
      </c>
      <c r="S65" s="941" t="s">
        <v>58</v>
      </c>
      <c r="T65" s="941" t="s">
        <v>420</v>
      </c>
      <c r="U65" s="943" t="s">
        <v>421</v>
      </c>
      <c r="V65" s="1124" t="s">
        <v>207</v>
      </c>
      <c r="W65" s="1125">
        <v>1.596</v>
      </c>
      <c r="X65" s="1126">
        <f>W65*I65</f>
        <v>1532.16</v>
      </c>
      <c r="Y65" s="908" t="s">
        <v>422</v>
      </c>
      <c r="Z65" s="1106" t="s">
        <v>202</v>
      </c>
      <c r="AA65" s="905" t="s">
        <v>53</v>
      </c>
      <c r="AB65" s="905" t="s">
        <v>54</v>
      </c>
      <c r="AC65" s="908"/>
      <c r="AD65" s="1132">
        <v>960</v>
      </c>
      <c r="AE65" s="1132">
        <f t="shared" si="6"/>
        <v>0</v>
      </c>
      <c r="AF65" s="1133"/>
      <c r="AG65" s="908"/>
      <c r="AH65" s="908"/>
      <c r="AI65" s="830">
        <f t="shared" si="18"/>
        <v>960</v>
      </c>
      <c r="AJ65" s="969">
        <f t="shared" si="19"/>
        <v>960</v>
      </c>
      <c r="AL65" s="969"/>
      <c r="AM65" s="804">
        <f t="shared" si="20"/>
        <v>960</v>
      </c>
      <c r="AP65" s="1138"/>
      <c r="AW65" s="804">
        <f>I65/16</f>
        <v>60</v>
      </c>
      <c r="BC65" s="1105"/>
      <c r="BD65" s="1105"/>
      <c r="BE65" s="1105"/>
      <c r="BF65" s="1105"/>
      <c r="BG65" s="1105"/>
      <c r="BL65" s="975"/>
      <c r="BM65" s="975"/>
      <c r="BN65" s="975"/>
      <c r="BO65" s="975"/>
      <c r="BP65" s="975"/>
      <c r="BQ65" s="975"/>
      <c r="BT65" s="805">
        <f t="shared" si="13"/>
        <v>60</v>
      </c>
      <c r="BU65" s="805">
        <f t="shared" si="14"/>
        <v>0</v>
      </c>
      <c r="BV65" s="291">
        <f t="shared" si="3"/>
        <v>556203</v>
      </c>
      <c r="BW65" s="975"/>
      <c r="BX65" s="975"/>
      <c r="BY65" s="975">
        <f t="shared" si="17"/>
        <v>303797</v>
      </c>
      <c r="BZ65" s="975"/>
      <c r="CA65" s="975"/>
      <c r="CF65" s="1138"/>
      <c r="CG65" s="1138"/>
      <c r="CH65" s="1138"/>
      <c r="CI65" s="1138"/>
      <c r="CJ65" s="1138"/>
      <c r="CK65" s="1138"/>
      <c r="CL65" s="1138"/>
      <c r="CM65" s="1138"/>
      <c r="CN65" s="1138"/>
      <c r="CO65" s="1138"/>
      <c r="CP65" s="1138"/>
      <c r="CQ65" s="1138"/>
      <c r="CR65" s="1138"/>
      <c r="CS65" s="1138"/>
      <c r="CT65" s="1138"/>
      <c r="CU65" s="1138"/>
      <c r="CV65" s="1138"/>
      <c r="CW65" s="1138"/>
      <c r="CX65" s="1138"/>
      <c r="CY65" s="1138"/>
      <c r="CZ65" s="1138"/>
      <c r="DA65" s="1138"/>
    </row>
    <row r="66" s="804" customFormat="1" ht="31" hidden="1" customHeight="1" spans="1:105">
      <c r="A66" s="1104">
        <v>45929</v>
      </c>
      <c r="B66" s="959" t="s">
        <v>199</v>
      </c>
      <c r="C66" s="905" t="s">
        <v>84</v>
      </c>
      <c r="D66" s="959">
        <v>4500180990</v>
      </c>
      <c r="E66" s="1294" t="s">
        <v>423</v>
      </c>
      <c r="F66" s="959" t="s">
        <v>424</v>
      </c>
      <c r="G66" s="1106" t="s">
        <v>202</v>
      </c>
      <c r="H66" s="905" t="s">
        <v>203</v>
      </c>
      <c r="I66" s="905">
        <v>960</v>
      </c>
      <c r="J66" s="905">
        <v>0</v>
      </c>
      <c r="K66" s="905">
        <v>16</v>
      </c>
      <c r="L66" s="1114">
        <f t="shared" si="10"/>
        <v>60</v>
      </c>
      <c r="M66" s="928">
        <v>45965</v>
      </c>
      <c r="N66" s="1117">
        <v>45969</v>
      </c>
      <c r="O66" s="908" t="s">
        <v>425</v>
      </c>
      <c r="P66" s="1116" t="s">
        <v>46</v>
      </c>
      <c r="Q66" s="908"/>
      <c r="R66" s="941" t="s">
        <v>251</v>
      </c>
      <c r="S66" s="941" t="s">
        <v>58</v>
      </c>
      <c r="T66" s="941" t="s">
        <v>420</v>
      </c>
      <c r="U66" s="943" t="s">
        <v>421</v>
      </c>
      <c r="V66" s="1124" t="s">
        <v>207</v>
      </c>
      <c r="W66" s="1125">
        <v>1.596</v>
      </c>
      <c r="X66" s="1126">
        <f>W66*I66</f>
        <v>1532.16</v>
      </c>
      <c r="Y66" s="908" t="s">
        <v>426</v>
      </c>
      <c r="Z66" s="1106" t="s">
        <v>202</v>
      </c>
      <c r="AA66" s="905" t="s">
        <v>53</v>
      </c>
      <c r="AB66" s="905" t="s">
        <v>54</v>
      </c>
      <c r="AC66" s="908"/>
      <c r="AD66" s="1132">
        <v>960</v>
      </c>
      <c r="AE66" s="1132">
        <f t="shared" si="6"/>
        <v>0</v>
      </c>
      <c r="AF66" s="1133"/>
      <c r="AG66" s="908"/>
      <c r="AH66" s="908"/>
      <c r="AI66" s="830">
        <f t="shared" si="18"/>
        <v>960</v>
      </c>
      <c r="AJ66" s="969">
        <f t="shared" si="19"/>
        <v>960</v>
      </c>
      <c r="AL66" s="969"/>
      <c r="AM66" s="804">
        <f t="shared" si="20"/>
        <v>960</v>
      </c>
      <c r="AP66" s="1138"/>
      <c r="AW66" s="804">
        <f>I66/16</f>
        <v>60</v>
      </c>
      <c r="BC66" s="1105"/>
      <c r="BD66" s="1105"/>
      <c r="BE66" s="1105"/>
      <c r="BF66" s="1105"/>
      <c r="BG66" s="1105"/>
      <c r="BL66" s="975"/>
      <c r="BM66" s="975"/>
      <c r="BN66" s="975"/>
      <c r="BO66" s="975"/>
      <c r="BP66" s="975"/>
      <c r="BQ66" s="975"/>
      <c r="BT66" s="805">
        <f t="shared" si="13"/>
        <v>60</v>
      </c>
      <c r="BU66" s="805">
        <f t="shared" si="14"/>
        <v>0</v>
      </c>
      <c r="BV66" s="291">
        <f t="shared" si="3"/>
        <v>557163</v>
      </c>
      <c r="BW66" s="975"/>
      <c r="BX66" s="975"/>
      <c r="BY66" s="975">
        <f t="shared" si="17"/>
        <v>302837</v>
      </c>
      <c r="BZ66" s="975"/>
      <c r="CA66" s="975"/>
      <c r="CF66" s="1138"/>
      <c r="CG66" s="1138"/>
      <c r="CH66" s="1138"/>
      <c r="CI66" s="1138"/>
      <c r="CJ66" s="1138"/>
      <c r="CK66" s="1138"/>
      <c r="CL66" s="1138"/>
      <c r="CM66" s="1138"/>
      <c r="CN66" s="1138"/>
      <c r="CO66" s="1138"/>
      <c r="CP66" s="1138"/>
      <c r="CQ66" s="1138"/>
      <c r="CR66" s="1138"/>
      <c r="CS66" s="1138"/>
      <c r="CT66" s="1138"/>
      <c r="CU66" s="1138"/>
      <c r="CV66" s="1138"/>
      <c r="CW66" s="1138"/>
      <c r="CX66" s="1138"/>
      <c r="CY66" s="1138"/>
      <c r="CZ66" s="1138"/>
      <c r="DA66" s="1138"/>
    </row>
    <row r="67" s="804" customFormat="1" ht="31" hidden="1" customHeight="1" spans="1:105">
      <c r="A67" s="1104">
        <v>45929</v>
      </c>
      <c r="B67" s="959" t="s">
        <v>199</v>
      </c>
      <c r="C67" s="905" t="s">
        <v>84</v>
      </c>
      <c r="D67" s="959">
        <v>4500180990</v>
      </c>
      <c r="E67" s="1294" t="s">
        <v>427</v>
      </c>
      <c r="F67" s="959" t="s">
        <v>428</v>
      </c>
      <c r="G67" s="1106" t="s">
        <v>202</v>
      </c>
      <c r="H67" s="905" t="s">
        <v>203</v>
      </c>
      <c r="I67" s="905">
        <v>960</v>
      </c>
      <c r="J67" s="905">
        <v>0</v>
      </c>
      <c r="K67" s="905">
        <v>16</v>
      </c>
      <c r="L67" s="1114">
        <f t="shared" si="10"/>
        <v>60</v>
      </c>
      <c r="M67" s="928">
        <v>45965</v>
      </c>
      <c r="N67" s="1117">
        <v>45969</v>
      </c>
      <c r="O67" s="908" t="s">
        <v>425</v>
      </c>
      <c r="P67" s="1116" t="s">
        <v>46</v>
      </c>
      <c r="Q67" s="908"/>
      <c r="R67" s="941" t="s">
        <v>251</v>
      </c>
      <c r="S67" s="941" t="s">
        <v>58</v>
      </c>
      <c r="T67" s="941" t="s">
        <v>420</v>
      </c>
      <c r="U67" s="943" t="s">
        <v>421</v>
      </c>
      <c r="V67" s="1124" t="s">
        <v>207</v>
      </c>
      <c r="W67" s="1125">
        <v>1.596</v>
      </c>
      <c r="X67" s="1126">
        <f>W67*I67</f>
        <v>1532.16</v>
      </c>
      <c r="Y67" s="908" t="s">
        <v>429</v>
      </c>
      <c r="Z67" s="1106" t="s">
        <v>202</v>
      </c>
      <c r="AA67" s="905" t="s">
        <v>53</v>
      </c>
      <c r="AB67" s="905" t="s">
        <v>54</v>
      </c>
      <c r="AC67" s="908"/>
      <c r="AD67" s="1132">
        <v>960</v>
      </c>
      <c r="AE67" s="1132">
        <f t="shared" si="6"/>
        <v>0</v>
      </c>
      <c r="AF67" s="1133"/>
      <c r="AG67" s="908"/>
      <c r="AH67" s="908"/>
      <c r="AI67" s="830">
        <f t="shared" si="18"/>
        <v>960</v>
      </c>
      <c r="AJ67" s="969">
        <f t="shared" si="19"/>
        <v>960</v>
      </c>
      <c r="AL67" s="969"/>
      <c r="AM67" s="804">
        <f t="shared" si="20"/>
        <v>960</v>
      </c>
      <c r="AP67" s="1138"/>
      <c r="AW67" s="804">
        <f>I67/16</f>
        <v>60</v>
      </c>
      <c r="BC67" s="1105"/>
      <c r="BD67" s="1105"/>
      <c r="BE67" s="1105"/>
      <c r="BF67" s="1105"/>
      <c r="BG67" s="1105"/>
      <c r="BL67" s="975"/>
      <c r="BM67" s="975"/>
      <c r="BN67" s="975"/>
      <c r="BO67" s="975"/>
      <c r="BP67" s="975"/>
      <c r="BQ67" s="975"/>
      <c r="BT67" s="805">
        <f t="shared" ref="BT67:BT98" si="21">AR67+AS67+AW67</f>
        <v>60</v>
      </c>
      <c r="BU67" s="805">
        <f t="shared" ref="BU67:BU98" si="22">BD67+BE67+BG67</f>
        <v>0</v>
      </c>
      <c r="BV67" s="291">
        <f t="shared" si="3"/>
        <v>558123</v>
      </c>
      <c r="BW67" s="975"/>
      <c r="BX67" s="975"/>
      <c r="BY67" s="975">
        <f t="shared" si="17"/>
        <v>301877</v>
      </c>
      <c r="BZ67" s="975"/>
      <c r="CA67" s="975"/>
      <c r="CF67" s="1138"/>
      <c r="CG67" s="1138"/>
      <c r="CH67" s="1138"/>
      <c r="CI67" s="1138"/>
      <c r="CJ67" s="1138"/>
      <c r="CK67" s="1138"/>
      <c r="CL67" s="1138"/>
      <c r="CM67" s="1138"/>
      <c r="CN67" s="1138"/>
      <c r="CO67" s="1138"/>
      <c r="CP67" s="1138"/>
      <c r="CQ67" s="1138"/>
      <c r="CR67" s="1138"/>
      <c r="CS67" s="1138"/>
      <c r="CT67" s="1138"/>
      <c r="CU67" s="1138"/>
      <c r="CV67" s="1138"/>
      <c r="CW67" s="1138"/>
      <c r="CX67" s="1138"/>
      <c r="CY67" s="1138"/>
      <c r="CZ67" s="1138"/>
      <c r="DA67" s="1138"/>
    </row>
    <row r="68" s="804" customFormat="1" ht="31" hidden="1" customHeight="1" spans="1:105">
      <c r="A68" s="1104">
        <v>45938</v>
      </c>
      <c r="B68" s="959" t="s">
        <v>430</v>
      </c>
      <c r="C68" s="905" t="s">
        <v>63</v>
      </c>
      <c r="D68" s="959">
        <v>4500181196</v>
      </c>
      <c r="E68" s="908" t="s">
        <v>431</v>
      </c>
      <c r="F68" s="959" t="s">
        <v>432</v>
      </c>
      <c r="G68" s="1106" t="s">
        <v>142</v>
      </c>
      <c r="H68" s="905" t="s">
        <v>137</v>
      </c>
      <c r="I68" s="905">
        <v>504</v>
      </c>
      <c r="J68" s="905">
        <v>0</v>
      </c>
      <c r="K68" s="905">
        <v>24</v>
      </c>
      <c r="L68" s="1114">
        <f t="shared" si="10"/>
        <v>21</v>
      </c>
      <c r="M68" s="928">
        <v>45971</v>
      </c>
      <c r="N68" s="1117">
        <v>45970</v>
      </c>
      <c r="O68" s="928" t="s">
        <v>433</v>
      </c>
      <c r="P68" s="1116" t="s">
        <v>46</v>
      </c>
      <c r="Q68" s="908" t="s">
        <v>434</v>
      </c>
      <c r="R68" s="941">
        <v>45938</v>
      </c>
      <c r="S68" s="941" t="s">
        <v>58</v>
      </c>
      <c r="T68" s="941" t="s">
        <v>435</v>
      </c>
      <c r="U68" s="943" t="s">
        <v>436</v>
      </c>
      <c r="V68" s="1124" t="s">
        <v>437</v>
      </c>
      <c r="W68" s="1125">
        <v>1.9</v>
      </c>
      <c r="X68" s="1126">
        <f>W68*I68</f>
        <v>957.6</v>
      </c>
      <c r="Y68" s="908" t="s">
        <v>438</v>
      </c>
      <c r="Z68" s="1106" t="s">
        <v>142</v>
      </c>
      <c r="AA68" s="905" t="s">
        <v>53</v>
      </c>
      <c r="AB68" s="905" t="s">
        <v>54</v>
      </c>
      <c r="AC68" s="908"/>
      <c r="AD68" s="1132">
        <v>504</v>
      </c>
      <c r="AE68" s="930">
        <f t="shared" si="6"/>
        <v>0</v>
      </c>
      <c r="AF68" s="1133"/>
      <c r="AG68" s="908" t="s">
        <v>55</v>
      </c>
      <c r="AH68" s="908"/>
      <c r="AI68" s="830">
        <f t="shared" si="18"/>
        <v>504</v>
      </c>
      <c r="AJ68" s="969">
        <f t="shared" si="19"/>
        <v>504</v>
      </c>
      <c r="AL68" s="969"/>
      <c r="AM68" s="804">
        <f t="shared" si="20"/>
        <v>504</v>
      </c>
      <c r="BC68" s="1105"/>
      <c r="BD68" s="1105"/>
      <c r="BE68" s="1105"/>
      <c r="BF68" s="1105"/>
      <c r="BG68" s="1105"/>
      <c r="BL68" s="975"/>
      <c r="BM68" s="975"/>
      <c r="BN68" s="975"/>
      <c r="BO68" s="975"/>
      <c r="BP68" s="975"/>
      <c r="BQ68" s="975"/>
      <c r="BT68" s="805">
        <f t="shared" si="21"/>
        <v>0</v>
      </c>
      <c r="BU68" s="805">
        <f t="shared" si="22"/>
        <v>0</v>
      </c>
      <c r="BV68" s="291">
        <f t="shared" ref="BV68:BV131" si="23">AI68+BV67</f>
        <v>558627</v>
      </c>
      <c r="BW68" s="975"/>
      <c r="BX68" s="975"/>
      <c r="BY68" s="975">
        <f t="shared" si="17"/>
        <v>301373</v>
      </c>
      <c r="BZ68" s="975"/>
      <c r="CA68" s="975"/>
      <c r="CF68" s="1138"/>
      <c r="CG68" s="1138"/>
      <c r="CH68" s="1138"/>
      <c r="CI68" s="1138"/>
      <c r="CJ68" s="1138"/>
      <c r="CK68" s="1138"/>
      <c r="CL68" s="1138"/>
      <c r="CM68" s="1138"/>
      <c r="CN68" s="1138"/>
      <c r="CO68" s="1138"/>
      <c r="CP68" s="1138"/>
      <c r="CQ68" s="1138"/>
      <c r="CR68" s="1138"/>
      <c r="CS68" s="1138"/>
      <c r="CT68" s="1138"/>
      <c r="CU68" s="1138"/>
      <c r="CV68" s="1138"/>
      <c r="CW68" s="1138"/>
      <c r="CX68" s="1138"/>
      <c r="CY68" s="1138"/>
      <c r="CZ68" s="1138"/>
      <c r="DA68" s="1138"/>
    </row>
    <row r="69" s="802" customFormat="1" ht="31" hidden="1" customHeight="1" spans="1:105">
      <c r="A69" s="997">
        <v>45884</v>
      </c>
      <c r="B69" s="871"/>
      <c r="C69" s="998"/>
      <c r="D69" s="802" t="s">
        <v>439</v>
      </c>
      <c r="E69" s="830"/>
      <c r="G69" s="989" t="s">
        <v>142</v>
      </c>
      <c r="H69" s="916" t="s">
        <v>440</v>
      </c>
      <c r="I69" s="916">
        <v>50</v>
      </c>
      <c r="J69" s="916"/>
      <c r="K69" s="916"/>
      <c r="L69" s="1011"/>
      <c r="M69" s="843">
        <v>45909</v>
      </c>
      <c r="N69" s="843">
        <v>45905</v>
      </c>
      <c r="O69" s="830"/>
      <c r="P69" s="1013"/>
      <c r="Q69" s="830"/>
      <c r="R69" s="855"/>
      <c r="S69" s="855"/>
      <c r="T69" s="855"/>
      <c r="U69" s="856" t="s">
        <v>441</v>
      </c>
      <c r="V69" s="1012" t="s">
        <v>60</v>
      </c>
      <c r="W69" s="1032"/>
      <c r="X69" s="1033"/>
      <c r="Y69" s="830"/>
      <c r="Z69" s="989"/>
      <c r="AA69" s="916" t="s">
        <v>442</v>
      </c>
      <c r="AB69" s="916"/>
      <c r="AC69" s="830"/>
      <c r="AD69" s="1041">
        <v>50</v>
      </c>
      <c r="AE69" s="1041"/>
      <c r="AF69" s="1042"/>
      <c r="AG69" s="830"/>
      <c r="AH69" s="830"/>
      <c r="AI69" s="830">
        <f t="shared" si="18"/>
        <v>50</v>
      </c>
      <c r="AJ69" s="808"/>
      <c r="AK69" s="808"/>
      <c r="AL69" s="808"/>
      <c r="AM69" s="808"/>
      <c r="BC69" s="998"/>
      <c r="BD69" s="998"/>
      <c r="BE69" s="998"/>
      <c r="BF69" s="998"/>
      <c r="BG69" s="998"/>
      <c r="BL69" s="888"/>
      <c r="BM69" s="888"/>
      <c r="BN69" s="888"/>
      <c r="BO69" s="888"/>
      <c r="BP69" s="888"/>
      <c r="BQ69" s="888"/>
      <c r="BT69" s="805">
        <f t="shared" si="21"/>
        <v>0</v>
      </c>
      <c r="BU69" s="805">
        <f t="shared" si="22"/>
        <v>0</v>
      </c>
      <c r="BV69" s="291">
        <f t="shared" si="23"/>
        <v>558677</v>
      </c>
      <c r="BW69" s="888"/>
      <c r="BX69" s="975"/>
      <c r="BY69" s="975">
        <f t="shared" si="17"/>
        <v>301323</v>
      </c>
      <c r="BZ69" s="888"/>
      <c r="CA69" s="888"/>
      <c r="CF69" s="1056"/>
      <c r="CG69" s="1056"/>
      <c r="CH69" s="1056"/>
      <c r="CI69" s="1056"/>
      <c r="CJ69" s="1056"/>
      <c r="CK69" s="1056"/>
      <c r="CL69" s="1056"/>
      <c r="CM69" s="1056"/>
      <c r="CN69" s="1056"/>
      <c r="CO69" s="1056"/>
      <c r="CP69" s="1056"/>
      <c r="CQ69" s="1056"/>
      <c r="CR69" s="1056"/>
      <c r="CS69" s="1056"/>
      <c r="CT69" s="1056"/>
      <c r="CU69" s="1056"/>
      <c r="CV69" s="1056"/>
      <c r="CW69" s="1056"/>
      <c r="CX69" s="1056"/>
      <c r="CY69" s="1056"/>
      <c r="CZ69" s="1056"/>
      <c r="DA69" s="1056"/>
    </row>
    <row r="70" s="802" customFormat="1" ht="32" hidden="1" customHeight="1" spans="1:105">
      <c r="A70" s="997">
        <v>45922</v>
      </c>
      <c r="B70" s="871" t="s">
        <v>162</v>
      </c>
      <c r="C70" s="916" t="s">
        <v>84</v>
      </c>
      <c r="D70" s="871">
        <v>4500180027</v>
      </c>
      <c r="E70" s="830" t="s">
        <v>443</v>
      </c>
      <c r="F70" s="871" t="s">
        <v>444</v>
      </c>
      <c r="G70" s="989" t="s">
        <v>187</v>
      </c>
      <c r="H70" s="916" t="s">
        <v>188</v>
      </c>
      <c r="I70" s="916">
        <v>17350</v>
      </c>
      <c r="J70" s="916">
        <v>0</v>
      </c>
      <c r="K70" s="916">
        <v>25</v>
      </c>
      <c r="L70" s="1011">
        <f t="shared" ref="L70:L76" si="24">I70/K70</f>
        <v>694</v>
      </c>
      <c r="M70" s="843">
        <v>45968</v>
      </c>
      <c r="N70" s="1149">
        <v>45967</v>
      </c>
      <c r="O70" s="843" t="s">
        <v>445</v>
      </c>
      <c r="P70" s="1013" t="s">
        <v>46</v>
      </c>
      <c r="Q70" s="830"/>
      <c r="R70" s="855">
        <v>45929</v>
      </c>
      <c r="S70" s="855" t="s">
        <v>48</v>
      </c>
      <c r="T70" s="855" t="s">
        <v>304</v>
      </c>
      <c r="U70" s="856" t="s">
        <v>446</v>
      </c>
      <c r="V70" s="1012" t="s">
        <v>168</v>
      </c>
      <c r="W70" s="1032">
        <v>1.5848</v>
      </c>
      <c r="X70" s="1033">
        <f>I70*W70</f>
        <v>27496.28</v>
      </c>
      <c r="Y70" s="830" t="s">
        <v>447</v>
      </c>
      <c r="Z70" s="989" t="s">
        <v>187</v>
      </c>
      <c r="AA70" s="916" t="s">
        <v>53</v>
      </c>
      <c r="AB70" s="916" t="s">
        <v>54</v>
      </c>
      <c r="AC70" s="830"/>
      <c r="AD70" s="1041">
        <v>17350</v>
      </c>
      <c r="AE70" s="1041">
        <f t="shared" ref="AE70:AE76" si="25">AD70-I70</f>
        <v>0</v>
      </c>
      <c r="AF70" s="1042"/>
      <c r="AG70" s="830"/>
      <c r="AH70" s="830"/>
      <c r="AI70" s="830">
        <f t="shared" si="18"/>
        <v>17350</v>
      </c>
      <c r="AJ70" s="808">
        <f t="shared" ref="AJ70:AJ79" si="26">I70</f>
        <v>17350</v>
      </c>
      <c r="AL70" s="808"/>
      <c r="AM70" s="802">
        <f t="shared" ref="AM70:AM90" si="27">I70</f>
        <v>17350</v>
      </c>
      <c r="AR70" s="802">
        <f>I70/25</f>
        <v>694</v>
      </c>
      <c r="BC70" s="998"/>
      <c r="BD70" s="998"/>
      <c r="BE70" s="998"/>
      <c r="BF70" s="998"/>
      <c r="BG70" s="998"/>
      <c r="BL70" s="888"/>
      <c r="BM70" s="888"/>
      <c r="BN70" s="888"/>
      <c r="BO70" s="888"/>
      <c r="BP70" s="888"/>
      <c r="BQ70" s="888"/>
      <c r="BT70" s="805">
        <f t="shared" si="21"/>
        <v>694</v>
      </c>
      <c r="BU70" s="805">
        <f t="shared" si="22"/>
        <v>0</v>
      </c>
      <c r="BV70" s="291">
        <f t="shared" si="23"/>
        <v>576027</v>
      </c>
      <c r="BW70" s="888"/>
      <c r="BX70" s="888"/>
      <c r="BY70" s="888">
        <f t="shared" ref="BY70:BY91" si="28">$BX$1+$BY$1-BV70</f>
        <v>283973</v>
      </c>
      <c r="BZ70" s="888"/>
      <c r="CA70" s="888"/>
      <c r="CF70" s="1056"/>
      <c r="CG70" s="1056"/>
      <c r="CH70" s="1056"/>
      <c r="CI70" s="1056"/>
      <c r="CJ70" s="1056"/>
      <c r="CK70" s="1056"/>
      <c r="CL70" s="1056"/>
      <c r="CM70" s="1056"/>
      <c r="CN70" s="1056"/>
      <c r="CO70" s="1056"/>
      <c r="CP70" s="1056"/>
      <c r="CQ70" s="1056"/>
      <c r="CR70" s="1056"/>
      <c r="CS70" s="1056"/>
      <c r="CT70" s="1056"/>
      <c r="CU70" s="1056"/>
      <c r="CV70" s="1056"/>
      <c r="CW70" s="1056"/>
      <c r="CX70" s="1056"/>
      <c r="CY70" s="1056"/>
      <c r="CZ70" s="1056"/>
      <c r="DA70" s="1056"/>
    </row>
    <row r="71" s="802" customFormat="1" ht="31" hidden="1" customHeight="1" spans="1:105">
      <c r="A71" s="997">
        <v>45916</v>
      </c>
      <c r="B71" s="871" t="s">
        <v>191</v>
      </c>
      <c r="C71" s="916" t="s">
        <v>84</v>
      </c>
      <c r="D71" s="871">
        <v>4500179587</v>
      </c>
      <c r="E71" s="830" t="s">
        <v>448</v>
      </c>
      <c r="F71" s="871" t="s">
        <v>449</v>
      </c>
      <c r="G71" s="989" t="s">
        <v>151</v>
      </c>
      <c r="H71" s="916" t="s">
        <v>152</v>
      </c>
      <c r="I71" s="916">
        <v>2080</v>
      </c>
      <c r="J71" s="916">
        <v>0</v>
      </c>
      <c r="K71" s="916">
        <v>13</v>
      </c>
      <c r="L71" s="1011">
        <f t="shared" si="24"/>
        <v>160</v>
      </c>
      <c r="M71" s="843">
        <v>45972</v>
      </c>
      <c r="N71" s="1149">
        <v>45973</v>
      </c>
      <c r="O71" s="830"/>
      <c r="P71" s="1013" t="s">
        <v>46</v>
      </c>
      <c r="Q71" s="830"/>
      <c r="R71" s="855">
        <v>45916</v>
      </c>
      <c r="S71" s="855" t="s">
        <v>58</v>
      </c>
      <c r="T71" s="855" t="s">
        <v>58</v>
      </c>
      <c r="U71" s="856" t="s">
        <v>194</v>
      </c>
      <c r="V71" s="1012" t="s">
        <v>195</v>
      </c>
      <c r="W71" s="1032">
        <v>1.4565</v>
      </c>
      <c r="X71" s="1033">
        <f>W71*I71</f>
        <v>3029.52</v>
      </c>
      <c r="Y71" s="830" t="s">
        <v>450</v>
      </c>
      <c r="Z71" s="989" t="s">
        <v>151</v>
      </c>
      <c r="AA71" s="916" t="s">
        <v>53</v>
      </c>
      <c r="AB71" s="916" t="s">
        <v>54</v>
      </c>
      <c r="AC71" s="830"/>
      <c r="AD71" s="1041">
        <v>2080</v>
      </c>
      <c r="AE71" s="1041">
        <f t="shared" si="25"/>
        <v>0</v>
      </c>
      <c r="AF71" s="1042"/>
      <c r="AG71" s="830" t="s">
        <v>58</v>
      </c>
      <c r="AH71" s="830"/>
      <c r="AI71" s="830">
        <f t="shared" si="18"/>
        <v>2080</v>
      </c>
      <c r="AJ71" s="808">
        <f t="shared" si="26"/>
        <v>2080</v>
      </c>
      <c r="AL71" s="808"/>
      <c r="AM71" s="802">
        <f t="shared" si="27"/>
        <v>2080</v>
      </c>
      <c r="AP71" s="802">
        <f>I71/13</f>
        <v>160</v>
      </c>
      <c r="BC71" s="998"/>
      <c r="BD71" s="998"/>
      <c r="BE71" s="998"/>
      <c r="BF71" s="998"/>
      <c r="BG71" s="998"/>
      <c r="BL71" s="888"/>
      <c r="BM71" s="888"/>
      <c r="BN71" s="888"/>
      <c r="BO71" s="888"/>
      <c r="BP71" s="888"/>
      <c r="BQ71" s="888"/>
      <c r="BT71" s="805">
        <f t="shared" si="21"/>
        <v>0</v>
      </c>
      <c r="BU71" s="805">
        <f t="shared" si="22"/>
        <v>0</v>
      </c>
      <c r="BV71" s="291">
        <f t="shared" si="23"/>
        <v>578107</v>
      </c>
      <c r="BW71" s="888"/>
      <c r="BX71" s="888"/>
      <c r="BY71" s="888">
        <f t="shared" si="28"/>
        <v>281893</v>
      </c>
      <c r="BZ71" s="888"/>
      <c r="CA71" s="888"/>
      <c r="CF71" s="1056"/>
      <c r="CG71" s="1056"/>
      <c r="CH71" s="1056"/>
      <c r="CI71" s="1056"/>
      <c r="CJ71" s="1056"/>
      <c r="CK71" s="1056"/>
      <c r="CL71" s="1056"/>
      <c r="CM71" s="1056"/>
      <c r="CN71" s="1056"/>
      <c r="CO71" s="1056"/>
      <c r="CP71" s="1056"/>
      <c r="CQ71" s="1056"/>
      <c r="CR71" s="1056"/>
      <c r="CS71" s="1056"/>
      <c r="CT71" s="1056"/>
      <c r="CU71" s="1056"/>
      <c r="CV71" s="1056"/>
      <c r="CW71" s="1056"/>
      <c r="CX71" s="1056"/>
      <c r="CY71" s="1056"/>
      <c r="CZ71" s="1056"/>
      <c r="DA71" s="1056"/>
    </row>
    <row r="72" s="802" customFormat="1" ht="31" hidden="1" customHeight="1" spans="1:105">
      <c r="A72" s="997">
        <v>45916</v>
      </c>
      <c r="B72" s="871" t="s">
        <v>191</v>
      </c>
      <c r="C72" s="916" t="s">
        <v>84</v>
      </c>
      <c r="D72" s="871">
        <v>4500179587</v>
      </c>
      <c r="E72" s="830" t="s">
        <v>451</v>
      </c>
      <c r="F72" s="871" t="s">
        <v>452</v>
      </c>
      <c r="G72" s="989" t="s">
        <v>151</v>
      </c>
      <c r="H72" s="916" t="s">
        <v>152</v>
      </c>
      <c r="I72" s="916">
        <v>1131</v>
      </c>
      <c r="J72" s="916">
        <v>0</v>
      </c>
      <c r="K72" s="916">
        <v>13</v>
      </c>
      <c r="L72" s="1011">
        <f t="shared" si="24"/>
        <v>87</v>
      </c>
      <c r="M72" s="843">
        <v>45972</v>
      </c>
      <c r="N72" s="1149">
        <v>45973</v>
      </c>
      <c r="O72" s="830"/>
      <c r="P72" s="1013" t="s">
        <v>46</v>
      </c>
      <c r="Q72" s="830"/>
      <c r="R72" s="855">
        <v>45916</v>
      </c>
      <c r="S72" s="855" t="s">
        <v>58</v>
      </c>
      <c r="T72" s="855" t="s">
        <v>58</v>
      </c>
      <c r="U72" s="856" t="s">
        <v>194</v>
      </c>
      <c r="V72" s="1012" t="s">
        <v>195</v>
      </c>
      <c r="W72" s="1032">
        <v>1.4565</v>
      </c>
      <c r="X72" s="1033">
        <f>W72*I72</f>
        <v>1647.3015</v>
      </c>
      <c r="Y72" s="830" t="s">
        <v>450</v>
      </c>
      <c r="Z72" s="989" t="s">
        <v>151</v>
      </c>
      <c r="AA72" s="916" t="s">
        <v>53</v>
      </c>
      <c r="AB72" s="916" t="s">
        <v>54</v>
      </c>
      <c r="AC72" s="830"/>
      <c r="AD72" s="1041">
        <v>1131</v>
      </c>
      <c r="AE72" s="1041">
        <f t="shared" si="25"/>
        <v>0</v>
      </c>
      <c r="AF72" s="1042"/>
      <c r="AG72" s="830" t="s">
        <v>58</v>
      </c>
      <c r="AH72" s="830"/>
      <c r="AI72" s="830">
        <f t="shared" si="18"/>
        <v>1131</v>
      </c>
      <c r="AJ72" s="808">
        <f t="shared" si="26"/>
        <v>1131</v>
      </c>
      <c r="AL72" s="808"/>
      <c r="AM72" s="802">
        <f t="shared" si="27"/>
        <v>1131</v>
      </c>
      <c r="AP72" s="802">
        <f>I72/13</f>
        <v>87</v>
      </c>
      <c r="BC72" s="998"/>
      <c r="BD72" s="998"/>
      <c r="BE72" s="998"/>
      <c r="BF72" s="998"/>
      <c r="BG72" s="998"/>
      <c r="BL72" s="888"/>
      <c r="BM72" s="888"/>
      <c r="BN72" s="888"/>
      <c r="BO72" s="888"/>
      <c r="BP72" s="888"/>
      <c r="BQ72" s="888"/>
      <c r="BT72" s="805">
        <f t="shared" si="21"/>
        <v>0</v>
      </c>
      <c r="BU72" s="805">
        <f t="shared" si="22"/>
        <v>0</v>
      </c>
      <c r="BV72" s="291">
        <f t="shared" si="23"/>
        <v>579238</v>
      </c>
      <c r="BW72" s="888"/>
      <c r="BX72" s="888"/>
      <c r="BY72" s="888">
        <f t="shared" si="28"/>
        <v>280762</v>
      </c>
      <c r="BZ72" s="888"/>
      <c r="CA72" s="888"/>
      <c r="CF72" s="1056"/>
      <c r="CG72" s="1056"/>
      <c r="CH72" s="1056"/>
      <c r="CI72" s="1056"/>
      <c r="CJ72" s="1056"/>
      <c r="CK72" s="1056"/>
      <c r="CL72" s="1056"/>
      <c r="CM72" s="1056"/>
      <c r="CN72" s="1056"/>
      <c r="CO72" s="1056"/>
      <c r="CP72" s="1056"/>
      <c r="CQ72" s="1056"/>
      <c r="CR72" s="1056"/>
      <c r="CS72" s="1056"/>
      <c r="CT72" s="1056"/>
      <c r="CU72" s="1056"/>
      <c r="CV72" s="1056"/>
      <c r="CW72" s="1056"/>
      <c r="CX72" s="1056"/>
      <c r="CY72" s="1056"/>
      <c r="CZ72" s="1056"/>
      <c r="DA72" s="1056"/>
    </row>
    <row r="73" s="802" customFormat="1" ht="31" hidden="1" customHeight="1" spans="1:105">
      <c r="A73" s="997">
        <v>45926</v>
      </c>
      <c r="B73" s="871" t="s">
        <v>148</v>
      </c>
      <c r="C73" s="916" t="s">
        <v>149</v>
      </c>
      <c r="D73" s="871">
        <v>4500180534</v>
      </c>
      <c r="E73" s="830">
        <v>21099948</v>
      </c>
      <c r="F73" s="856" t="s">
        <v>453</v>
      </c>
      <c r="G73" s="989" t="s">
        <v>151</v>
      </c>
      <c r="H73" s="916" t="s">
        <v>152</v>
      </c>
      <c r="I73" s="916">
        <v>6318</v>
      </c>
      <c r="J73" s="916">
        <v>0</v>
      </c>
      <c r="K73" s="916">
        <v>13</v>
      </c>
      <c r="L73" s="1011">
        <f t="shared" si="24"/>
        <v>486</v>
      </c>
      <c r="M73" s="843">
        <v>45971</v>
      </c>
      <c r="N73" s="1149">
        <v>45972</v>
      </c>
      <c r="O73" s="830"/>
      <c r="P73" s="1013" t="s">
        <v>46</v>
      </c>
      <c r="Q73" s="830" t="s">
        <v>454</v>
      </c>
      <c r="R73" s="855">
        <v>45940</v>
      </c>
      <c r="S73" s="855" t="s">
        <v>48</v>
      </c>
      <c r="T73" s="855" t="s">
        <v>333</v>
      </c>
      <c r="U73" s="856" t="s">
        <v>455</v>
      </c>
      <c r="V73" s="1012" t="s">
        <v>154</v>
      </c>
      <c r="W73" s="1032">
        <v>2.4275</v>
      </c>
      <c r="X73" s="1033">
        <f>W73*I73</f>
        <v>15336.945</v>
      </c>
      <c r="Y73" s="830" t="s">
        <v>456</v>
      </c>
      <c r="Z73" s="989" t="s">
        <v>151</v>
      </c>
      <c r="AA73" s="916" t="s">
        <v>53</v>
      </c>
      <c r="AB73" s="916" t="s">
        <v>54</v>
      </c>
      <c r="AC73" s="830"/>
      <c r="AD73" s="1041">
        <v>6318</v>
      </c>
      <c r="AE73" s="1041">
        <f t="shared" si="25"/>
        <v>0</v>
      </c>
      <c r="AF73" s="1042"/>
      <c r="AG73" s="830" t="s">
        <v>55</v>
      </c>
      <c r="AH73" s="830"/>
      <c r="AI73" s="830">
        <f t="shared" si="18"/>
        <v>6318</v>
      </c>
      <c r="AJ73" s="808">
        <f t="shared" si="26"/>
        <v>6318</v>
      </c>
      <c r="AL73" s="808"/>
      <c r="AM73" s="802">
        <f t="shared" si="27"/>
        <v>6318</v>
      </c>
      <c r="AP73" s="802">
        <f>I73/13</f>
        <v>486</v>
      </c>
      <c r="BC73" s="998"/>
      <c r="BD73" s="998"/>
      <c r="BE73" s="998"/>
      <c r="BF73" s="998"/>
      <c r="BG73" s="998"/>
      <c r="BL73" s="888"/>
      <c r="BM73" s="888"/>
      <c r="BN73" s="888"/>
      <c r="BO73" s="888"/>
      <c r="BP73" s="888"/>
      <c r="BQ73" s="888"/>
      <c r="BT73" s="805">
        <f t="shared" si="21"/>
        <v>0</v>
      </c>
      <c r="BU73" s="805">
        <f t="shared" si="22"/>
        <v>0</v>
      </c>
      <c r="BV73" s="291">
        <f t="shared" si="23"/>
        <v>585556</v>
      </c>
      <c r="BW73" s="888"/>
      <c r="BX73" s="888"/>
      <c r="BY73" s="888">
        <f t="shared" si="28"/>
        <v>274444</v>
      </c>
      <c r="BZ73" s="888"/>
      <c r="CA73" s="888"/>
      <c r="CF73" s="1056"/>
      <c r="CG73" s="1056"/>
      <c r="CH73" s="1056"/>
      <c r="CI73" s="1056"/>
      <c r="CJ73" s="1056"/>
      <c r="CK73" s="1056"/>
      <c r="CL73" s="1056"/>
      <c r="CM73" s="1056"/>
      <c r="CN73" s="1056"/>
      <c r="CO73" s="1056"/>
      <c r="CP73" s="1056"/>
      <c r="CQ73" s="1056"/>
      <c r="CR73" s="1056"/>
      <c r="CS73" s="1056"/>
      <c r="CT73" s="1056"/>
      <c r="CU73" s="1056"/>
      <c r="CV73" s="1056"/>
      <c r="CW73" s="1056"/>
      <c r="CX73" s="1056"/>
      <c r="CY73" s="1056"/>
      <c r="CZ73" s="1056"/>
      <c r="DA73" s="1056"/>
    </row>
    <row r="74" s="802" customFormat="1" ht="31" hidden="1" customHeight="1" spans="1:105">
      <c r="A74" s="997">
        <v>45926</v>
      </c>
      <c r="B74" s="871" t="s">
        <v>157</v>
      </c>
      <c r="C74" s="916" t="s">
        <v>158</v>
      </c>
      <c r="D74" s="871">
        <v>4500180535</v>
      </c>
      <c r="E74" s="830">
        <v>21099974</v>
      </c>
      <c r="F74" s="1143" t="s">
        <v>457</v>
      </c>
      <c r="G74" s="989" t="s">
        <v>151</v>
      </c>
      <c r="H74" s="916" t="s">
        <v>152</v>
      </c>
      <c r="I74" s="916">
        <v>702</v>
      </c>
      <c r="J74" s="916">
        <v>0</v>
      </c>
      <c r="K74" s="916">
        <v>13</v>
      </c>
      <c r="L74" s="1011">
        <f t="shared" si="24"/>
        <v>54</v>
      </c>
      <c r="M74" s="843">
        <v>45971</v>
      </c>
      <c r="N74" s="1149">
        <v>45972</v>
      </c>
      <c r="O74" s="830"/>
      <c r="P74" s="1013" t="s">
        <v>46</v>
      </c>
      <c r="Q74" s="830" t="s">
        <v>454</v>
      </c>
      <c r="R74" s="855">
        <v>45940</v>
      </c>
      <c r="S74" s="855" t="s">
        <v>48</v>
      </c>
      <c r="T74" s="855" t="s">
        <v>333</v>
      </c>
      <c r="U74" s="856" t="s">
        <v>458</v>
      </c>
      <c r="V74" s="1012" t="s">
        <v>154</v>
      </c>
      <c r="W74" s="1032">
        <v>2.4275</v>
      </c>
      <c r="X74" s="1033">
        <f>W74*I74</f>
        <v>1704.105</v>
      </c>
      <c r="Y74" s="830" t="s">
        <v>459</v>
      </c>
      <c r="Z74" s="989" t="s">
        <v>151</v>
      </c>
      <c r="AA74" s="916" t="s">
        <v>53</v>
      </c>
      <c r="AB74" s="916" t="s">
        <v>54</v>
      </c>
      <c r="AC74" s="830"/>
      <c r="AD74" s="1041">
        <v>702</v>
      </c>
      <c r="AE74" s="1041">
        <f t="shared" si="25"/>
        <v>0</v>
      </c>
      <c r="AF74" s="1042"/>
      <c r="AG74" s="830" t="s">
        <v>55</v>
      </c>
      <c r="AH74" s="830"/>
      <c r="AI74" s="830">
        <f t="shared" si="18"/>
        <v>702</v>
      </c>
      <c r="AJ74" s="808">
        <f t="shared" si="26"/>
        <v>702</v>
      </c>
      <c r="AL74" s="808"/>
      <c r="AM74" s="802">
        <f t="shared" si="27"/>
        <v>702</v>
      </c>
      <c r="AP74" s="802">
        <f>I74/13</f>
        <v>54</v>
      </c>
      <c r="BC74" s="998"/>
      <c r="BD74" s="998"/>
      <c r="BE74" s="998"/>
      <c r="BF74" s="998"/>
      <c r="BG74" s="998"/>
      <c r="BL74" s="888"/>
      <c r="BM74" s="888"/>
      <c r="BN74" s="888"/>
      <c r="BO74" s="888"/>
      <c r="BP74" s="888"/>
      <c r="BQ74" s="888"/>
      <c r="BT74" s="805">
        <f t="shared" si="21"/>
        <v>0</v>
      </c>
      <c r="BU74" s="805">
        <f t="shared" si="22"/>
        <v>0</v>
      </c>
      <c r="BV74" s="291">
        <f t="shared" si="23"/>
        <v>586258</v>
      </c>
      <c r="BW74" s="888"/>
      <c r="BX74" s="888"/>
      <c r="BY74" s="888">
        <f t="shared" si="28"/>
        <v>273742</v>
      </c>
      <c r="BZ74" s="888"/>
      <c r="CA74" s="888"/>
      <c r="CF74" s="1056"/>
      <c r="CG74" s="1056"/>
      <c r="CH74" s="1056"/>
      <c r="CI74" s="1056"/>
      <c r="CJ74" s="1056"/>
      <c r="CK74" s="1056"/>
      <c r="CL74" s="1056"/>
      <c r="CM74" s="1056"/>
      <c r="CN74" s="1056"/>
      <c r="CO74" s="1056"/>
      <c r="CP74" s="1056"/>
      <c r="CQ74" s="1056"/>
      <c r="CR74" s="1056"/>
      <c r="CS74" s="1056"/>
      <c r="CT74" s="1056"/>
      <c r="CU74" s="1056"/>
      <c r="CV74" s="1056"/>
      <c r="CW74" s="1056"/>
      <c r="CX74" s="1056"/>
      <c r="CY74" s="1056"/>
      <c r="CZ74" s="1056"/>
      <c r="DA74" s="1056"/>
    </row>
    <row r="75" s="802" customFormat="1" ht="31" hidden="1" customHeight="1" spans="1:105">
      <c r="A75" s="997">
        <v>45926</v>
      </c>
      <c r="B75" s="871" t="s">
        <v>387</v>
      </c>
      <c r="C75" s="916" t="s">
        <v>84</v>
      </c>
      <c r="D75" s="871">
        <v>4500180563</v>
      </c>
      <c r="E75" s="830" t="s">
        <v>460</v>
      </c>
      <c r="F75" s="871" t="s">
        <v>461</v>
      </c>
      <c r="G75" s="989" t="s">
        <v>390</v>
      </c>
      <c r="H75" s="916" t="s">
        <v>391</v>
      </c>
      <c r="I75" s="916">
        <v>360</v>
      </c>
      <c r="J75" s="916">
        <v>0</v>
      </c>
      <c r="K75" s="916">
        <v>30</v>
      </c>
      <c r="L75" s="1011">
        <f t="shared" si="24"/>
        <v>12</v>
      </c>
      <c r="M75" s="843">
        <v>45974</v>
      </c>
      <c r="N75" s="1149">
        <v>45973</v>
      </c>
      <c r="O75" s="843" t="s">
        <v>392</v>
      </c>
      <c r="P75" s="1013" t="s">
        <v>46</v>
      </c>
      <c r="Q75" s="830" t="s">
        <v>462</v>
      </c>
      <c r="R75" s="855">
        <v>45926</v>
      </c>
      <c r="S75" s="855" t="s">
        <v>58</v>
      </c>
      <c r="T75" s="855" t="s">
        <v>58</v>
      </c>
      <c r="U75" s="856" t="s">
        <v>394</v>
      </c>
      <c r="V75" s="1012" t="s">
        <v>395</v>
      </c>
      <c r="W75" s="1032">
        <v>41.52</v>
      </c>
      <c r="X75" s="1033">
        <f>W75*L75</f>
        <v>498.24</v>
      </c>
      <c r="Y75" s="830" t="s">
        <v>396</v>
      </c>
      <c r="Z75" s="989" t="s">
        <v>397</v>
      </c>
      <c r="AA75" s="916" t="s">
        <v>53</v>
      </c>
      <c r="AB75" s="916" t="s">
        <v>54</v>
      </c>
      <c r="AC75" s="830"/>
      <c r="AD75" s="1041">
        <v>360</v>
      </c>
      <c r="AE75" s="1041">
        <f t="shared" si="25"/>
        <v>0</v>
      </c>
      <c r="AF75" s="1042"/>
      <c r="AG75" s="830" t="s">
        <v>58</v>
      </c>
      <c r="AH75" s="830"/>
      <c r="AI75" s="830">
        <f t="shared" si="18"/>
        <v>360</v>
      </c>
      <c r="AJ75" s="916">
        <f t="shared" si="26"/>
        <v>360</v>
      </c>
      <c r="AL75" s="808"/>
      <c r="AM75" s="802">
        <f t="shared" si="27"/>
        <v>360</v>
      </c>
      <c r="AP75" s="1056"/>
      <c r="BC75" s="998"/>
      <c r="BD75" s="998"/>
      <c r="BE75" s="998"/>
      <c r="BF75" s="998"/>
      <c r="BG75" s="998">
        <f>I75/K75</f>
        <v>12</v>
      </c>
      <c r="BL75" s="888"/>
      <c r="BM75" s="888"/>
      <c r="BN75" s="888"/>
      <c r="BO75" s="888"/>
      <c r="BP75" s="888"/>
      <c r="BQ75" s="888"/>
      <c r="BT75" s="805">
        <f t="shared" si="21"/>
        <v>0</v>
      </c>
      <c r="BU75" s="805">
        <f t="shared" si="22"/>
        <v>12</v>
      </c>
      <c r="BV75" s="291">
        <f t="shared" si="23"/>
        <v>586618</v>
      </c>
      <c r="BW75" s="888"/>
      <c r="BX75" s="888"/>
      <c r="BY75" s="888">
        <f t="shared" si="28"/>
        <v>273382</v>
      </c>
      <c r="BZ75" s="888"/>
      <c r="CA75" s="888"/>
      <c r="CF75" s="1056"/>
      <c r="CG75" s="1056"/>
      <c r="CH75" s="1056"/>
      <c r="CI75" s="1056"/>
      <c r="CJ75" s="1056"/>
      <c r="CK75" s="1056"/>
      <c r="CL75" s="1056"/>
      <c r="CM75" s="1056"/>
      <c r="CN75" s="1056"/>
      <c r="CO75" s="1056"/>
      <c r="CP75" s="1056"/>
      <c r="CQ75" s="1056"/>
      <c r="CR75" s="1056"/>
      <c r="CS75" s="1056"/>
      <c r="CT75" s="1056"/>
      <c r="CU75" s="1056"/>
      <c r="CV75" s="1056"/>
      <c r="CW75" s="1056"/>
      <c r="CX75" s="1056"/>
      <c r="CY75" s="1056"/>
      <c r="CZ75" s="1056"/>
      <c r="DA75" s="1056"/>
    </row>
    <row r="76" s="802" customFormat="1" ht="32" hidden="1" customHeight="1" spans="1:105">
      <c r="A76" s="997">
        <v>45947</v>
      </c>
      <c r="B76" s="871"/>
      <c r="C76" s="916"/>
      <c r="D76" s="871" t="s">
        <v>463</v>
      </c>
      <c r="E76" s="830"/>
      <c r="F76" s="871"/>
      <c r="G76" s="989" t="s">
        <v>142</v>
      </c>
      <c r="H76" s="916" t="s">
        <v>137</v>
      </c>
      <c r="I76" s="916">
        <v>120</v>
      </c>
      <c r="J76" s="916">
        <v>0</v>
      </c>
      <c r="K76" s="916">
        <v>24</v>
      </c>
      <c r="L76" s="1011">
        <f t="shared" si="24"/>
        <v>5</v>
      </c>
      <c r="M76" s="843">
        <v>45969</v>
      </c>
      <c r="N76" s="843">
        <v>45965</v>
      </c>
      <c r="O76" s="830"/>
      <c r="P76" s="1150"/>
      <c r="Q76" s="830"/>
      <c r="R76" s="855">
        <v>45947</v>
      </c>
      <c r="S76" s="855"/>
      <c r="T76" s="855"/>
      <c r="U76" s="856" t="s">
        <v>464</v>
      </c>
      <c r="V76" s="1012" t="s">
        <v>60</v>
      </c>
      <c r="W76" s="1032"/>
      <c r="X76" s="1033"/>
      <c r="Y76" s="1158" t="s">
        <v>465</v>
      </c>
      <c r="Z76" s="1102" t="s">
        <v>142</v>
      </c>
      <c r="AA76" s="916" t="s">
        <v>53</v>
      </c>
      <c r="AB76" s="916"/>
      <c r="AC76" s="830"/>
      <c r="AD76" s="1041">
        <v>120</v>
      </c>
      <c r="AE76" s="1041">
        <f t="shared" si="25"/>
        <v>0</v>
      </c>
      <c r="AF76" s="1042"/>
      <c r="AG76" s="830"/>
      <c r="AH76" s="830"/>
      <c r="AI76" s="830">
        <f t="shared" si="18"/>
        <v>120</v>
      </c>
      <c r="AJ76" s="808">
        <f t="shared" si="26"/>
        <v>120</v>
      </c>
      <c r="AL76" s="808"/>
      <c r="AM76" s="802">
        <f t="shared" si="27"/>
        <v>120</v>
      </c>
      <c r="BC76" s="998"/>
      <c r="BD76" s="998"/>
      <c r="BE76" s="998"/>
      <c r="BF76" s="998"/>
      <c r="BG76" s="998"/>
      <c r="BL76" s="888"/>
      <c r="BM76" s="888"/>
      <c r="BN76" s="888"/>
      <c r="BO76" s="888"/>
      <c r="BP76" s="888"/>
      <c r="BQ76" s="888"/>
      <c r="BT76" s="805">
        <f t="shared" si="21"/>
        <v>0</v>
      </c>
      <c r="BU76" s="805">
        <f t="shared" si="22"/>
        <v>0</v>
      </c>
      <c r="BV76" s="291">
        <f t="shared" si="23"/>
        <v>586738</v>
      </c>
      <c r="BW76" s="888"/>
      <c r="BX76" s="888"/>
      <c r="BY76" s="888">
        <f t="shared" si="28"/>
        <v>273262</v>
      </c>
      <c r="BZ76" s="888"/>
      <c r="CA76" s="888"/>
      <c r="CF76" s="1056"/>
      <c r="CG76" s="1056"/>
      <c r="CH76" s="1056"/>
      <c r="CI76" s="1056"/>
      <c r="CJ76" s="1056"/>
      <c r="CK76" s="1056"/>
      <c r="CL76" s="1056"/>
      <c r="CM76" s="1056"/>
      <c r="CN76" s="1056"/>
      <c r="CO76" s="1056"/>
      <c r="CP76" s="1056"/>
      <c r="CQ76" s="1056"/>
      <c r="CR76" s="1056"/>
      <c r="CS76" s="1056"/>
      <c r="CT76" s="1056"/>
      <c r="CU76" s="1056"/>
      <c r="CV76" s="1056"/>
      <c r="CW76" s="1056"/>
      <c r="CX76" s="1056"/>
      <c r="CY76" s="1056"/>
      <c r="CZ76" s="1056"/>
      <c r="DA76" s="1056"/>
    </row>
    <row r="77" s="802" customFormat="1" ht="32" hidden="1" customHeight="1" spans="1:105">
      <c r="A77" s="997">
        <v>45945</v>
      </c>
      <c r="B77" s="871"/>
      <c r="C77" s="916"/>
      <c r="D77" s="871" t="s">
        <v>466</v>
      </c>
      <c r="E77" s="830"/>
      <c r="F77" s="871"/>
      <c r="G77" s="989" t="s">
        <v>136</v>
      </c>
      <c r="H77" s="916"/>
      <c r="I77" s="916">
        <v>5</v>
      </c>
      <c r="J77" s="916"/>
      <c r="K77" s="916"/>
      <c r="L77" s="1011"/>
      <c r="M77" s="843">
        <v>45970</v>
      </c>
      <c r="N77" s="843">
        <v>45966</v>
      </c>
      <c r="O77" s="830"/>
      <c r="P77" s="1150"/>
      <c r="Q77" s="830"/>
      <c r="R77" s="855"/>
      <c r="S77" s="855"/>
      <c r="T77" s="855"/>
      <c r="U77" s="856" t="s">
        <v>467</v>
      </c>
      <c r="V77" s="1012" t="s">
        <v>60</v>
      </c>
      <c r="W77" s="1032"/>
      <c r="X77" s="1033"/>
      <c r="Y77" s="830" t="s">
        <v>468</v>
      </c>
      <c r="Z77" s="989"/>
      <c r="AA77" s="916"/>
      <c r="AB77" s="916"/>
      <c r="AC77" s="830"/>
      <c r="AD77" s="1041">
        <v>5</v>
      </c>
      <c r="AE77" s="1041">
        <v>0</v>
      </c>
      <c r="AF77" s="1042"/>
      <c r="AG77" s="830"/>
      <c r="AH77" s="830"/>
      <c r="AI77" s="830">
        <f t="shared" si="18"/>
        <v>5</v>
      </c>
      <c r="AJ77" s="808"/>
      <c r="AL77" s="808"/>
      <c r="AM77" s="808"/>
      <c r="AR77" s="802">
        <v>5</v>
      </c>
      <c r="BC77" s="998"/>
      <c r="BD77" s="998"/>
      <c r="BE77" s="998"/>
      <c r="BF77" s="998"/>
      <c r="BG77" s="998"/>
      <c r="BL77" s="888"/>
      <c r="BM77" s="888"/>
      <c r="BN77" s="888"/>
      <c r="BO77" s="888"/>
      <c r="BP77" s="888"/>
      <c r="BQ77" s="888"/>
      <c r="BT77" s="805">
        <f t="shared" si="21"/>
        <v>5</v>
      </c>
      <c r="BU77" s="805">
        <f t="shared" si="22"/>
        <v>0</v>
      </c>
      <c r="BV77" s="291">
        <f t="shared" si="23"/>
        <v>586743</v>
      </c>
      <c r="BW77" s="888"/>
      <c r="BX77" s="888"/>
      <c r="BY77" s="888">
        <f t="shared" si="28"/>
        <v>273257</v>
      </c>
      <c r="BZ77" s="888"/>
      <c r="CA77" s="888"/>
      <c r="CF77" s="1056"/>
      <c r="CG77" s="1056"/>
      <c r="CH77" s="1056"/>
      <c r="CI77" s="1056"/>
      <c r="CJ77" s="1056"/>
      <c r="CK77" s="1056"/>
      <c r="CL77" s="1056"/>
      <c r="CM77" s="1056"/>
      <c r="CN77" s="1056"/>
      <c r="CO77" s="1056"/>
      <c r="CP77" s="1056"/>
      <c r="CQ77" s="1056"/>
      <c r="CR77" s="1056"/>
      <c r="CS77" s="1056"/>
      <c r="CT77" s="1056"/>
      <c r="CU77" s="1056"/>
      <c r="CV77" s="1056"/>
      <c r="CW77" s="1056"/>
      <c r="CX77" s="1056"/>
      <c r="CY77" s="1056"/>
      <c r="CZ77" s="1056"/>
      <c r="DA77" s="1056"/>
    </row>
    <row r="78" s="803" customFormat="1" ht="31" hidden="1" customHeight="1" spans="1:105">
      <c r="A78" s="1144">
        <v>45922</v>
      </c>
      <c r="B78" s="874" t="s">
        <v>162</v>
      </c>
      <c r="C78" s="921" t="s">
        <v>84</v>
      </c>
      <c r="D78" s="874">
        <v>4500180023</v>
      </c>
      <c r="E78" s="838" t="s">
        <v>469</v>
      </c>
      <c r="F78" s="874" t="s">
        <v>470</v>
      </c>
      <c r="G78" s="1145" t="s">
        <v>187</v>
      </c>
      <c r="H78" s="921" t="s">
        <v>188</v>
      </c>
      <c r="I78" s="921">
        <v>13900</v>
      </c>
      <c r="J78" s="921">
        <v>0</v>
      </c>
      <c r="K78" s="921">
        <v>25</v>
      </c>
      <c r="L78" s="1151">
        <f t="shared" ref="L78:L141" si="29">I78/K78</f>
        <v>556</v>
      </c>
      <c r="M78" s="848">
        <v>45971</v>
      </c>
      <c r="N78" s="939">
        <v>45970</v>
      </c>
      <c r="O78" s="848" t="s">
        <v>445</v>
      </c>
      <c r="P78" s="1152" t="s">
        <v>46</v>
      </c>
      <c r="Q78" s="838" t="s">
        <v>471</v>
      </c>
      <c r="R78" s="862">
        <v>45929</v>
      </c>
      <c r="S78" s="862" t="s">
        <v>48</v>
      </c>
      <c r="T78" s="862" t="s">
        <v>304</v>
      </c>
      <c r="U78" s="953" t="s">
        <v>365</v>
      </c>
      <c r="V78" s="1154" t="s">
        <v>168</v>
      </c>
      <c r="W78" s="1155">
        <v>1.5848</v>
      </c>
      <c r="X78" s="1156">
        <f>I78*W78</f>
        <v>22028.72</v>
      </c>
      <c r="Y78" s="838" t="s">
        <v>472</v>
      </c>
      <c r="Z78" s="1145" t="s">
        <v>187</v>
      </c>
      <c r="AA78" s="921" t="s">
        <v>53</v>
      </c>
      <c r="AB78" s="921" t="s">
        <v>54</v>
      </c>
      <c r="AC78" s="838"/>
      <c r="AD78" s="1159">
        <v>13900</v>
      </c>
      <c r="AE78" s="1159">
        <f t="shared" ref="AE78:AE141" si="30">AD78-I78</f>
        <v>0</v>
      </c>
      <c r="AF78" s="1160"/>
      <c r="AG78" s="838"/>
      <c r="AH78" s="838"/>
      <c r="AI78" s="830">
        <f t="shared" si="18"/>
        <v>13900</v>
      </c>
      <c r="AJ78" s="970">
        <f t="shared" si="26"/>
        <v>13900</v>
      </c>
      <c r="AL78" s="970"/>
      <c r="AM78" s="803">
        <f t="shared" si="27"/>
        <v>13900</v>
      </c>
      <c r="AR78" s="803">
        <f>I78/25</f>
        <v>556</v>
      </c>
      <c r="BC78" s="1146"/>
      <c r="BD78" s="1146"/>
      <c r="BE78" s="1146"/>
      <c r="BF78" s="1146"/>
      <c r="BG78" s="1146"/>
      <c r="BL78" s="892"/>
      <c r="BM78" s="892"/>
      <c r="BN78" s="892"/>
      <c r="BO78" s="892"/>
      <c r="BP78" s="892"/>
      <c r="BQ78" s="892"/>
      <c r="BT78" s="805">
        <f t="shared" si="21"/>
        <v>556</v>
      </c>
      <c r="BU78" s="805">
        <f t="shared" si="22"/>
        <v>0</v>
      </c>
      <c r="BV78" s="291">
        <f t="shared" si="23"/>
        <v>600643</v>
      </c>
      <c r="BW78" s="892"/>
      <c r="BX78" s="892"/>
      <c r="BY78" s="892">
        <f t="shared" si="28"/>
        <v>259357</v>
      </c>
      <c r="BZ78" s="892"/>
      <c r="CA78" s="892"/>
      <c r="CF78" s="1166"/>
      <c r="CG78" s="1166"/>
      <c r="CH78" s="1166"/>
      <c r="CI78" s="1166"/>
      <c r="CJ78" s="1166"/>
      <c r="CK78" s="1166"/>
      <c r="CL78" s="1166"/>
      <c r="CM78" s="1166"/>
      <c r="CN78" s="1166"/>
      <c r="CO78" s="1166"/>
      <c r="CP78" s="1166"/>
      <c r="CQ78" s="1166"/>
      <c r="CR78" s="1166"/>
      <c r="CS78" s="1166"/>
      <c r="CT78" s="1166"/>
      <c r="CU78" s="1166"/>
      <c r="CV78" s="1166"/>
      <c r="CW78" s="1166"/>
      <c r="CX78" s="1166"/>
      <c r="CY78" s="1166"/>
      <c r="CZ78" s="1166"/>
      <c r="DA78" s="1166"/>
    </row>
    <row r="79" s="803" customFormat="1" ht="31" hidden="1" customHeight="1" spans="1:105">
      <c r="A79" s="1144">
        <v>45875</v>
      </c>
      <c r="B79" s="874" t="s">
        <v>473</v>
      </c>
      <c r="C79" s="1146" t="s">
        <v>474</v>
      </c>
      <c r="D79" s="874">
        <v>4500175911</v>
      </c>
      <c r="E79" s="838"/>
      <c r="F79" s="953" t="s">
        <v>475</v>
      </c>
      <c r="G79" s="1145" t="s">
        <v>151</v>
      </c>
      <c r="H79" s="921" t="s">
        <v>152</v>
      </c>
      <c r="I79" s="921">
        <v>611</v>
      </c>
      <c r="J79" s="921">
        <v>0</v>
      </c>
      <c r="K79" s="921">
        <v>13</v>
      </c>
      <c r="L79" s="1151">
        <f t="shared" si="29"/>
        <v>47</v>
      </c>
      <c r="M79" s="848">
        <v>45973</v>
      </c>
      <c r="N79" s="939">
        <v>45974</v>
      </c>
      <c r="O79" s="838"/>
      <c r="P79" s="1152" t="s">
        <v>46</v>
      </c>
      <c r="Q79" s="838"/>
      <c r="R79" s="862">
        <v>45920</v>
      </c>
      <c r="S79" s="862" t="s">
        <v>58</v>
      </c>
      <c r="T79" s="862" t="s">
        <v>476</v>
      </c>
      <c r="U79" s="953" t="s">
        <v>477</v>
      </c>
      <c r="V79" s="1154" t="s">
        <v>478</v>
      </c>
      <c r="W79" s="1155">
        <v>2.39</v>
      </c>
      <c r="X79" s="1156">
        <f>I79*W79</f>
        <v>1460.29</v>
      </c>
      <c r="Y79" s="838" t="s">
        <v>479</v>
      </c>
      <c r="Z79" s="1145" t="s">
        <v>480</v>
      </c>
      <c r="AA79" s="921" t="s">
        <v>53</v>
      </c>
      <c r="AB79" s="921" t="s">
        <v>54</v>
      </c>
      <c r="AC79" s="838"/>
      <c r="AD79" s="1159">
        <v>611</v>
      </c>
      <c r="AE79" s="1159">
        <f t="shared" si="30"/>
        <v>0</v>
      </c>
      <c r="AF79" s="1160"/>
      <c r="AG79" s="838" t="s">
        <v>55</v>
      </c>
      <c r="AH79" s="838"/>
      <c r="AI79" s="830">
        <f t="shared" si="18"/>
        <v>611</v>
      </c>
      <c r="AJ79" s="970"/>
      <c r="AL79" s="970">
        <f>I79</f>
        <v>611</v>
      </c>
      <c r="AM79" s="803">
        <f t="shared" si="27"/>
        <v>611</v>
      </c>
      <c r="AQ79" s="803">
        <f>I79/13</f>
        <v>47</v>
      </c>
      <c r="BC79" s="1146"/>
      <c r="BD79" s="1146"/>
      <c r="BE79" s="1146"/>
      <c r="BF79" s="1146"/>
      <c r="BG79" s="1146"/>
      <c r="BL79" s="892"/>
      <c r="BM79" s="892"/>
      <c r="BN79" s="892"/>
      <c r="BO79" s="892"/>
      <c r="BP79" s="892"/>
      <c r="BQ79" s="892"/>
      <c r="BT79" s="805">
        <f t="shared" si="21"/>
        <v>0</v>
      </c>
      <c r="BU79" s="805">
        <f t="shared" si="22"/>
        <v>0</v>
      </c>
      <c r="BV79" s="291">
        <f t="shared" si="23"/>
        <v>601254</v>
      </c>
      <c r="BW79" s="892"/>
      <c r="BX79" s="892"/>
      <c r="BY79" s="892">
        <f t="shared" si="28"/>
        <v>258746</v>
      </c>
      <c r="BZ79" s="892"/>
      <c r="CA79" s="892"/>
      <c r="CF79" s="1166"/>
      <c r="CG79" s="1166"/>
      <c r="CH79" s="1166"/>
      <c r="CI79" s="1166"/>
      <c r="CJ79" s="1166"/>
      <c r="CK79" s="1166"/>
      <c r="CL79" s="1166"/>
      <c r="CM79" s="1166"/>
      <c r="CN79" s="1166"/>
      <c r="CO79" s="1166"/>
      <c r="CP79" s="1166"/>
      <c r="CQ79" s="1166"/>
      <c r="CR79" s="1166"/>
      <c r="CS79" s="1166"/>
      <c r="CT79" s="1166"/>
      <c r="CU79" s="1166"/>
      <c r="CV79" s="1166"/>
      <c r="CW79" s="1166"/>
      <c r="CX79" s="1166"/>
      <c r="CY79" s="1166"/>
      <c r="CZ79" s="1166"/>
      <c r="DA79" s="1166"/>
    </row>
    <row r="80" s="803" customFormat="1" ht="31" hidden="1" customHeight="1" spans="1:105">
      <c r="A80" s="1144">
        <v>45928</v>
      </c>
      <c r="B80" s="874" t="s">
        <v>481</v>
      </c>
      <c r="C80" s="1146" t="s">
        <v>70</v>
      </c>
      <c r="D80" s="874">
        <v>4500180582</v>
      </c>
      <c r="E80" s="838" t="s">
        <v>482</v>
      </c>
      <c r="F80" s="953" t="s">
        <v>483</v>
      </c>
      <c r="G80" s="1145" t="s">
        <v>187</v>
      </c>
      <c r="H80" s="921" t="s">
        <v>484</v>
      </c>
      <c r="I80" s="921">
        <v>1925</v>
      </c>
      <c r="J80" s="921">
        <v>0</v>
      </c>
      <c r="K80" s="921">
        <v>25</v>
      </c>
      <c r="L80" s="1151">
        <f t="shared" si="29"/>
        <v>77</v>
      </c>
      <c r="M80" s="848">
        <v>45975</v>
      </c>
      <c r="N80" s="939">
        <v>45974</v>
      </c>
      <c r="O80" s="838"/>
      <c r="P80" s="1152" t="s">
        <v>46</v>
      </c>
      <c r="Q80" s="838"/>
      <c r="R80" s="862">
        <v>45943</v>
      </c>
      <c r="S80" s="862" t="s">
        <v>58</v>
      </c>
      <c r="T80" s="862" t="s">
        <v>485</v>
      </c>
      <c r="U80" s="953" t="s">
        <v>486</v>
      </c>
      <c r="V80" s="1154" t="s">
        <v>487</v>
      </c>
      <c r="W80" s="1155">
        <v>2.66</v>
      </c>
      <c r="X80" s="1156">
        <f>I80*W80</f>
        <v>5120.5</v>
      </c>
      <c r="Y80" s="838" t="s">
        <v>488</v>
      </c>
      <c r="Z80" s="1145" t="s">
        <v>489</v>
      </c>
      <c r="AA80" s="921" t="s">
        <v>53</v>
      </c>
      <c r="AB80" s="921" t="s">
        <v>54</v>
      </c>
      <c r="AC80" s="838"/>
      <c r="AD80" s="1159">
        <v>1925</v>
      </c>
      <c r="AE80" s="1159">
        <f t="shared" si="30"/>
        <v>0</v>
      </c>
      <c r="AF80" s="1160"/>
      <c r="AG80" s="838" t="s">
        <v>55</v>
      </c>
      <c r="AH80" s="838"/>
      <c r="AI80" s="830">
        <f t="shared" si="18"/>
        <v>1925</v>
      </c>
      <c r="AJ80" s="970"/>
      <c r="AL80" s="921">
        <f>I80</f>
        <v>1925</v>
      </c>
      <c r="AM80" s="803">
        <f t="shared" si="27"/>
        <v>1925</v>
      </c>
      <c r="AS80" s="803">
        <f>L80</f>
        <v>77</v>
      </c>
      <c r="BC80" s="1146"/>
      <c r="BD80" s="1146"/>
      <c r="BE80" s="1146"/>
      <c r="BF80" s="1146"/>
      <c r="BG80" s="1146"/>
      <c r="BL80" s="892"/>
      <c r="BM80" s="892"/>
      <c r="BN80" s="892"/>
      <c r="BO80" s="892"/>
      <c r="BP80" s="892"/>
      <c r="BQ80" s="892"/>
      <c r="BT80" s="805">
        <f t="shared" si="21"/>
        <v>77</v>
      </c>
      <c r="BU80" s="805">
        <f t="shared" si="22"/>
        <v>0</v>
      </c>
      <c r="BV80" s="291">
        <f t="shared" si="23"/>
        <v>603179</v>
      </c>
      <c r="BW80" s="892"/>
      <c r="BX80" s="892"/>
      <c r="BY80" s="892">
        <f t="shared" si="28"/>
        <v>256821</v>
      </c>
      <c r="BZ80" s="892"/>
      <c r="CA80" s="892"/>
      <c r="CF80" s="1166"/>
      <c r="CG80" s="1166"/>
      <c r="CH80" s="1166"/>
      <c r="CI80" s="1166"/>
      <c r="CJ80" s="1166"/>
      <c r="CK80" s="1166"/>
      <c r="CL80" s="1166"/>
      <c r="CM80" s="1166"/>
      <c r="CN80" s="1166"/>
      <c r="CO80" s="1166"/>
      <c r="CP80" s="1166"/>
      <c r="CQ80" s="1166"/>
      <c r="CR80" s="1166"/>
      <c r="CS80" s="1166"/>
      <c r="CT80" s="1166"/>
      <c r="CU80" s="1166"/>
      <c r="CV80" s="1166"/>
      <c r="CW80" s="1166"/>
      <c r="CX80" s="1166"/>
      <c r="CY80" s="1166"/>
      <c r="CZ80" s="1166"/>
      <c r="DA80" s="1166"/>
    </row>
    <row r="81" s="803" customFormat="1" ht="31" hidden="1" customHeight="1" spans="1:105">
      <c r="A81" s="1144">
        <v>45925</v>
      </c>
      <c r="B81" s="874" t="s">
        <v>490</v>
      </c>
      <c r="C81" s="921" t="s">
        <v>63</v>
      </c>
      <c r="D81" s="874">
        <v>4500180232</v>
      </c>
      <c r="E81" s="838" t="s">
        <v>491</v>
      </c>
      <c r="F81" s="874" t="s">
        <v>492</v>
      </c>
      <c r="G81" s="1145" t="s">
        <v>493</v>
      </c>
      <c r="H81" s="921" t="s">
        <v>494</v>
      </c>
      <c r="I81" s="921">
        <v>750</v>
      </c>
      <c r="J81" s="921">
        <v>25</v>
      </c>
      <c r="K81" s="921">
        <v>50</v>
      </c>
      <c r="L81" s="1151">
        <f t="shared" si="29"/>
        <v>15</v>
      </c>
      <c r="M81" s="939">
        <v>45977</v>
      </c>
      <c r="N81" s="939">
        <v>45973</v>
      </c>
      <c r="O81" s="848" t="s">
        <v>433</v>
      </c>
      <c r="P81" s="1152" t="s">
        <v>46</v>
      </c>
      <c r="Q81" s="849">
        <v>45954</v>
      </c>
      <c r="R81" s="862">
        <v>45925</v>
      </c>
      <c r="S81" s="862" t="s">
        <v>58</v>
      </c>
      <c r="T81" s="862" t="s">
        <v>58</v>
      </c>
      <c r="U81" s="953" t="s">
        <v>495</v>
      </c>
      <c r="V81" s="1154" t="s">
        <v>496</v>
      </c>
      <c r="W81" s="1155">
        <v>2.66</v>
      </c>
      <c r="X81" s="1156">
        <f>I81*W81</f>
        <v>1995</v>
      </c>
      <c r="Y81" s="1161" t="s">
        <v>497</v>
      </c>
      <c r="Z81" s="1145" t="s">
        <v>493</v>
      </c>
      <c r="AA81" s="921" t="s">
        <v>53</v>
      </c>
      <c r="AB81" s="921" t="s">
        <v>54</v>
      </c>
      <c r="AC81" s="838"/>
      <c r="AD81" s="1159">
        <v>750</v>
      </c>
      <c r="AE81" s="1159">
        <f t="shared" si="30"/>
        <v>0</v>
      </c>
      <c r="AF81" s="1160"/>
      <c r="AG81" s="838" t="s">
        <v>58</v>
      </c>
      <c r="AH81" s="838"/>
      <c r="AI81" s="830">
        <f t="shared" si="18"/>
        <v>750</v>
      </c>
      <c r="AJ81" s="970">
        <f>I81</f>
        <v>750</v>
      </c>
      <c r="AL81" s="970"/>
      <c r="AM81" s="803">
        <f t="shared" si="27"/>
        <v>750</v>
      </c>
      <c r="AP81" s="1166"/>
      <c r="AR81" s="803">
        <f>I81/J81</f>
        <v>30</v>
      </c>
      <c r="BC81" s="1146"/>
      <c r="BD81" s="1146"/>
      <c r="BE81" s="1146"/>
      <c r="BF81" s="1146"/>
      <c r="BG81" s="1146"/>
      <c r="BL81" s="892"/>
      <c r="BM81" s="892"/>
      <c r="BN81" s="892"/>
      <c r="BO81" s="892"/>
      <c r="BP81" s="892"/>
      <c r="BQ81" s="892"/>
      <c r="BT81" s="805">
        <f t="shared" si="21"/>
        <v>30</v>
      </c>
      <c r="BU81" s="805">
        <f t="shared" si="22"/>
        <v>0</v>
      </c>
      <c r="BV81" s="291">
        <f t="shared" si="23"/>
        <v>603929</v>
      </c>
      <c r="BW81" s="892"/>
      <c r="BX81" s="892"/>
      <c r="BY81" s="892">
        <f t="shared" si="28"/>
        <v>256071</v>
      </c>
      <c r="BZ81" s="892"/>
      <c r="CA81" s="892"/>
      <c r="CF81" s="1166"/>
      <c r="CG81" s="1166"/>
      <c r="CH81" s="1166"/>
      <c r="CI81" s="1166"/>
      <c r="CJ81" s="1166"/>
      <c r="CK81" s="1166"/>
      <c r="CL81" s="1166"/>
      <c r="CM81" s="1166"/>
      <c r="CN81" s="1166"/>
      <c r="CO81" s="1166"/>
      <c r="CP81" s="1166"/>
      <c r="CQ81" s="1166"/>
      <c r="CR81" s="1166"/>
      <c r="CS81" s="1166"/>
      <c r="CT81" s="1166"/>
      <c r="CU81" s="1166"/>
      <c r="CV81" s="1166"/>
      <c r="CW81" s="1166"/>
      <c r="CX81" s="1166"/>
      <c r="CY81" s="1166"/>
      <c r="CZ81" s="1166"/>
      <c r="DA81" s="1166"/>
    </row>
    <row r="82" s="803" customFormat="1" ht="31" hidden="1" customHeight="1" spans="1:105">
      <c r="A82" s="1144">
        <v>45944</v>
      </c>
      <c r="B82" s="874" t="s">
        <v>498</v>
      </c>
      <c r="C82" s="1146" t="s">
        <v>149</v>
      </c>
      <c r="D82" s="874">
        <v>4500181756</v>
      </c>
      <c r="E82" s="838" t="s">
        <v>499</v>
      </c>
      <c r="F82" s="874" t="s">
        <v>500</v>
      </c>
      <c r="G82" s="1145" t="s">
        <v>145</v>
      </c>
      <c r="H82" s="921" t="s">
        <v>137</v>
      </c>
      <c r="I82" s="921">
        <v>1664</v>
      </c>
      <c r="J82" s="921">
        <v>0</v>
      </c>
      <c r="K82" s="921">
        <v>52</v>
      </c>
      <c r="L82" s="1151">
        <f t="shared" si="29"/>
        <v>32</v>
      </c>
      <c r="M82" s="848">
        <v>45979</v>
      </c>
      <c r="N82" s="848">
        <v>45975</v>
      </c>
      <c r="O82" s="838"/>
      <c r="P82" s="1152" t="s">
        <v>46</v>
      </c>
      <c r="Q82" s="838"/>
      <c r="R82" s="862">
        <v>45944</v>
      </c>
      <c r="S82" s="862" t="s">
        <v>58</v>
      </c>
      <c r="T82" s="862" t="s">
        <v>501</v>
      </c>
      <c r="U82" s="953" t="s">
        <v>502</v>
      </c>
      <c r="V82" s="1154" t="s">
        <v>503</v>
      </c>
      <c r="W82" s="1155">
        <v>2.15</v>
      </c>
      <c r="X82" s="1156">
        <f>W82*I82</f>
        <v>3577.6</v>
      </c>
      <c r="Y82" s="838" t="s">
        <v>504</v>
      </c>
      <c r="Z82" s="1145" t="s">
        <v>145</v>
      </c>
      <c r="AA82" s="921" t="s">
        <v>53</v>
      </c>
      <c r="AB82" s="921" t="s">
        <v>54</v>
      </c>
      <c r="AC82" s="838"/>
      <c r="AD82" s="1159">
        <v>1664</v>
      </c>
      <c r="AE82" s="1159">
        <f t="shared" si="30"/>
        <v>0</v>
      </c>
      <c r="AF82" s="1160"/>
      <c r="AG82" s="874" t="s">
        <v>55</v>
      </c>
      <c r="AH82" s="838"/>
      <c r="AI82" s="830">
        <f t="shared" si="18"/>
        <v>1664</v>
      </c>
      <c r="AJ82" s="970">
        <f>I82</f>
        <v>1664</v>
      </c>
      <c r="AL82" s="921"/>
      <c r="AM82" s="803">
        <f t="shared" si="27"/>
        <v>1664</v>
      </c>
      <c r="AP82" s="803">
        <f>I82/13</f>
        <v>128</v>
      </c>
      <c r="BC82" s="1146"/>
      <c r="BD82" s="1146"/>
      <c r="BE82" s="1146"/>
      <c r="BF82" s="1146"/>
      <c r="BG82" s="1146"/>
      <c r="BL82" s="892"/>
      <c r="BM82" s="892"/>
      <c r="BN82" s="892"/>
      <c r="BO82" s="892"/>
      <c r="BP82" s="892"/>
      <c r="BQ82" s="892"/>
      <c r="BT82" s="805">
        <f t="shared" si="21"/>
        <v>0</v>
      </c>
      <c r="BU82" s="805">
        <f t="shared" si="22"/>
        <v>0</v>
      </c>
      <c r="BV82" s="291">
        <f t="shared" si="23"/>
        <v>605593</v>
      </c>
      <c r="BW82" s="892"/>
      <c r="BX82" s="892"/>
      <c r="BY82" s="892">
        <f t="shared" si="28"/>
        <v>254407</v>
      </c>
      <c r="BZ82" s="892"/>
      <c r="CA82" s="892"/>
      <c r="CF82" s="1166"/>
      <c r="CG82" s="1166"/>
      <c r="CH82" s="1166"/>
      <c r="CI82" s="1166"/>
      <c r="CJ82" s="1166"/>
      <c r="CK82" s="1166"/>
      <c r="CL82" s="1166"/>
      <c r="CM82" s="1166"/>
      <c r="CN82" s="1166"/>
      <c r="CO82" s="1166"/>
      <c r="CP82" s="1166"/>
      <c r="CQ82" s="1166"/>
      <c r="CR82" s="1166"/>
      <c r="CS82" s="1166"/>
      <c r="CT82" s="1166"/>
      <c r="CU82" s="1166"/>
      <c r="CV82" s="1166"/>
      <c r="CW82" s="1166"/>
      <c r="CX82" s="1166"/>
      <c r="CY82" s="1166"/>
      <c r="CZ82" s="1166"/>
      <c r="DA82" s="1166"/>
    </row>
    <row r="83" s="803" customFormat="1" ht="31" hidden="1" customHeight="1" spans="1:105">
      <c r="A83" s="1144">
        <v>45944</v>
      </c>
      <c r="B83" s="874" t="s">
        <v>498</v>
      </c>
      <c r="C83" s="1146" t="s">
        <v>149</v>
      </c>
      <c r="D83" s="874">
        <v>4500181756</v>
      </c>
      <c r="E83" s="838" t="s">
        <v>505</v>
      </c>
      <c r="F83" s="874" t="s">
        <v>506</v>
      </c>
      <c r="G83" s="1145" t="s">
        <v>145</v>
      </c>
      <c r="H83" s="921" t="s">
        <v>137</v>
      </c>
      <c r="I83" s="921">
        <v>1456</v>
      </c>
      <c r="J83" s="921">
        <v>0</v>
      </c>
      <c r="K83" s="921">
        <v>52</v>
      </c>
      <c r="L83" s="1151">
        <f t="shared" si="29"/>
        <v>28</v>
      </c>
      <c r="M83" s="848">
        <v>45979</v>
      </c>
      <c r="N83" s="848">
        <v>45975</v>
      </c>
      <c r="O83" s="838"/>
      <c r="P83" s="1152" t="s">
        <v>46</v>
      </c>
      <c r="Q83" s="838"/>
      <c r="R83" s="862">
        <v>45944</v>
      </c>
      <c r="S83" s="862" t="s">
        <v>58</v>
      </c>
      <c r="T83" s="862" t="s">
        <v>501</v>
      </c>
      <c r="U83" s="953" t="s">
        <v>502</v>
      </c>
      <c r="V83" s="1154" t="s">
        <v>503</v>
      </c>
      <c r="W83" s="1155">
        <v>2.15</v>
      </c>
      <c r="X83" s="1156">
        <f>W83*I83</f>
        <v>3130.4</v>
      </c>
      <c r="Y83" s="838" t="s">
        <v>504</v>
      </c>
      <c r="Z83" s="1145" t="s">
        <v>145</v>
      </c>
      <c r="AA83" s="921" t="s">
        <v>53</v>
      </c>
      <c r="AB83" s="921" t="s">
        <v>54</v>
      </c>
      <c r="AC83" s="838"/>
      <c r="AD83" s="1159">
        <v>1456</v>
      </c>
      <c r="AE83" s="1159">
        <f t="shared" si="30"/>
        <v>0</v>
      </c>
      <c r="AF83" s="1160"/>
      <c r="AG83" s="1165"/>
      <c r="AH83" s="838"/>
      <c r="AI83" s="830">
        <f t="shared" si="18"/>
        <v>1456</v>
      </c>
      <c r="AJ83" s="970">
        <f>I83</f>
        <v>1456</v>
      </c>
      <c r="AL83" s="921"/>
      <c r="AM83" s="803">
        <f t="shared" si="27"/>
        <v>1456</v>
      </c>
      <c r="AP83" s="803">
        <f>I83/13</f>
        <v>112</v>
      </c>
      <c r="BC83" s="1146"/>
      <c r="BD83" s="1146"/>
      <c r="BE83" s="1146"/>
      <c r="BF83" s="1146"/>
      <c r="BG83" s="1146"/>
      <c r="BL83" s="892"/>
      <c r="BM83" s="892"/>
      <c r="BN83" s="892"/>
      <c r="BO83" s="892"/>
      <c r="BP83" s="892"/>
      <c r="BQ83" s="892"/>
      <c r="BT83" s="805">
        <f t="shared" si="21"/>
        <v>0</v>
      </c>
      <c r="BU83" s="805">
        <f t="shared" si="22"/>
        <v>0</v>
      </c>
      <c r="BV83" s="291">
        <f t="shared" si="23"/>
        <v>607049</v>
      </c>
      <c r="BW83" s="892"/>
      <c r="BX83" s="892"/>
      <c r="BY83" s="892">
        <f t="shared" si="28"/>
        <v>252951</v>
      </c>
      <c r="BZ83" s="892"/>
      <c r="CA83" s="892"/>
      <c r="CF83" s="1166"/>
      <c r="CG83" s="1166"/>
      <c r="CH83" s="1166"/>
      <c r="CI83" s="1166"/>
      <c r="CJ83" s="1166"/>
      <c r="CK83" s="1166"/>
      <c r="CL83" s="1166"/>
      <c r="CM83" s="1166"/>
      <c r="CN83" s="1166"/>
      <c r="CO83" s="1166"/>
      <c r="CP83" s="1166"/>
      <c r="CQ83" s="1166"/>
      <c r="CR83" s="1166"/>
      <c r="CS83" s="1166"/>
      <c r="CT83" s="1166"/>
      <c r="CU83" s="1166"/>
      <c r="CV83" s="1166"/>
      <c r="CW83" s="1166"/>
      <c r="CX83" s="1166"/>
      <c r="CY83" s="1166"/>
      <c r="CZ83" s="1166"/>
      <c r="DA83" s="1166"/>
    </row>
    <row r="84" s="803" customFormat="1" ht="31" hidden="1" customHeight="1" spans="1:105">
      <c r="A84" s="1144">
        <v>45944</v>
      </c>
      <c r="B84" s="874" t="s">
        <v>498</v>
      </c>
      <c r="C84" s="1146" t="s">
        <v>149</v>
      </c>
      <c r="D84" s="874">
        <v>4500181756</v>
      </c>
      <c r="E84" s="838" t="s">
        <v>507</v>
      </c>
      <c r="F84" s="874" t="s">
        <v>508</v>
      </c>
      <c r="G84" s="1145" t="s">
        <v>145</v>
      </c>
      <c r="H84" s="921" t="s">
        <v>137</v>
      </c>
      <c r="I84" s="921">
        <v>1196</v>
      </c>
      <c r="J84" s="921">
        <v>0</v>
      </c>
      <c r="K84" s="921">
        <v>52</v>
      </c>
      <c r="L84" s="1151">
        <f t="shared" si="29"/>
        <v>23</v>
      </c>
      <c r="M84" s="848">
        <v>45979</v>
      </c>
      <c r="N84" s="848">
        <v>45975</v>
      </c>
      <c r="O84" s="838"/>
      <c r="P84" s="1152" t="s">
        <v>46</v>
      </c>
      <c r="Q84" s="838"/>
      <c r="R84" s="862">
        <v>45944</v>
      </c>
      <c r="S84" s="862" t="s">
        <v>58</v>
      </c>
      <c r="T84" s="862" t="s">
        <v>501</v>
      </c>
      <c r="U84" s="953" t="s">
        <v>502</v>
      </c>
      <c r="V84" s="1154" t="s">
        <v>503</v>
      </c>
      <c r="W84" s="1155">
        <v>2.15</v>
      </c>
      <c r="X84" s="1156">
        <f>W84*I84</f>
        <v>2571.4</v>
      </c>
      <c r="Y84" s="838" t="s">
        <v>509</v>
      </c>
      <c r="Z84" s="1145" t="s">
        <v>145</v>
      </c>
      <c r="AA84" s="921" t="s">
        <v>53</v>
      </c>
      <c r="AB84" s="921" t="s">
        <v>54</v>
      </c>
      <c r="AC84" s="838"/>
      <c r="AD84" s="1159">
        <v>1196</v>
      </c>
      <c r="AE84" s="1159">
        <f t="shared" si="30"/>
        <v>0</v>
      </c>
      <c r="AF84" s="1160"/>
      <c r="AG84" s="1165"/>
      <c r="AH84" s="838"/>
      <c r="AI84" s="830">
        <f t="shared" si="18"/>
        <v>1196</v>
      </c>
      <c r="AJ84" s="970">
        <f>I84</f>
        <v>1196</v>
      </c>
      <c r="AL84" s="921"/>
      <c r="AM84" s="803">
        <f t="shared" si="27"/>
        <v>1196</v>
      </c>
      <c r="AP84" s="803">
        <f>I84/13</f>
        <v>92</v>
      </c>
      <c r="BC84" s="1146"/>
      <c r="BD84" s="1146"/>
      <c r="BE84" s="1146"/>
      <c r="BF84" s="1146"/>
      <c r="BG84" s="1146"/>
      <c r="BL84" s="892"/>
      <c r="BM84" s="892"/>
      <c r="BN84" s="892"/>
      <c r="BO84" s="892"/>
      <c r="BP84" s="892"/>
      <c r="BQ84" s="892"/>
      <c r="BT84" s="805">
        <f t="shared" si="21"/>
        <v>0</v>
      </c>
      <c r="BU84" s="805">
        <f t="shared" si="22"/>
        <v>0</v>
      </c>
      <c r="BV84" s="291">
        <f t="shared" si="23"/>
        <v>608245</v>
      </c>
      <c r="BW84" s="892"/>
      <c r="BX84" s="892"/>
      <c r="BY84" s="892">
        <f t="shared" si="28"/>
        <v>251755</v>
      </c>
      <c r="BZ84" s="892"/>
      <c r="CA84" s="892"/>
      <c r="CF84" s="1166"/>
      <c r="CG84" s="1166"/>
      <c r="CH84" s="1166"/>
      <c r="CI84" s="1166"/>
      <c r="CJ84" s="1166"/>
      <c r="CK84" s="1166"/>
      <c r="CL84" s="1166"/>
      <c r="CM84" s="1166"/>
      <c r="CN84" s="1166"/>
      <c r="CO84" s="1166"/>
      <c r="CP84" s="1166"/>
      <c r="CQ84" s="1166"/>
      <c r="CR84" s="1166"/>
      <c r="CS84" s="1166"/>
      <c r="CT84" s="1166"/>
      <c r="CU84" s="1166"/>
      <c r="CV84" s="1166"/>
      <c r="CW84" s="1166"/>
      <c r="CX84" s="1166"/>
      <c r="CY84" s="1166"/>
      <c r="CZ84" s="1166"/>
      <c r="DA84" s="1166"/>
    </row>
    <row r="85" s="803" customFormat="1" ht="31" hidden="1" customHeight="1" spans="1:105">
      <c r="A85" s="1144">
        <v>45944</v>
      </c>
      <c r="B85" s="874" t="s">
        <v>498</v>
      </c>
      <c r="C85" s="1146" t="s">
        <v>149</v>
      </c>
      <c r="D85" s="874">
        <v>4500181756</v>
      </c>
      <c r="E85" s="838" t="s">
        <v>510</v>
      </c>
      <c r="F85" s="874" t="s">
        <v>511</v>
      </c>
      <c r="G85" s="1145" t="s">
        <v>145</v>
      </c>
      <c r="H85" s="921" t="s">
        <v>137</v>
      </c>
      <c r="I85" s="921">
        <v>520</v>
      </c>
      <c r="J85" s="921">
        <v>0</v>
      </c>
      <c r="K85" s="921">
        <v>52</v>
      </c>
      <c r="L85" s="1151">
        <f t="shared" si="29"/>
        <v>10</v>
      </c>
      <c r="M85" s="848">
        <v>45979</v>
      </c>
      <c r="N85" s="848">
        <v>45975</v>
      </c>
      <c r="O85" s="838"/>
      <c r="P85" s="1152" t="s">
        <v>46</v>
      </c>
      <c r="Q85" s="838" t="s">
        <v>512</v>
      </c>
      <c r="R85" s="862">
        <v>45944</v>
      </c>
      <c r="S85" s="862" t="s">
        <v>58</v>
      </c>
      <c r="T85" s="862" t="s">
        <v>501</v>
      </c>
      <c r="U85" s="953" t="s">
        <v>502</v>
      </c>
      <c r="V85" s="1154" t="s">
        <v>503</v>
      </c>
      <c r="W85" s="1155">
        <v>2.15</v>
      </c>
      <c r="X85" s="1156">
        <f>W85*I85</f>
        <v>1118</v>
      </c>
      <c r="Y85" s="838" t="s">
        <v>513</v>
      </c>
      <c r="Z85" s="1145" t="s">
        <v>145</v>
      </c>
      <c r="AA85" s="921" t="s">
        <v>53</v>
      </c>
      <c r="AB85" s="921" t="s">
        <v>54</v>
      </c>
      <c r="AC85" s="838"/>
      <c r="AD85" s="1159">
        <v>520</v>
      </c>
      <c r="AE85" s="1159">
        <f t="shared" si="30"/>
        <v>0</v>
      </c>
      <c r="AF85" s="1160"/>
      <c r="AG85" s="873"/>
      <c r="AH85" s="838"/>
      <c r="AI85" s="830">
        <f t="shared" si="18"/>
        <v>520</v>
      </c>
      <c r="AJ85" s="970">
        <f>I85</f>
        <v>520</v>
      </c>
      <c r="AL85" s="921"/>
      <c r="AM85" s="803">
        <f t="shared" si="27"/>
        <v>520</v>
      </c>
      <c r="AP85" s="803">
        <f>I85/13</f>
        <v>40</v>
      </c>
      <c r="BC85" s="1146"/>
      <c r="BD85" s="1146"/>
      <c r="BE85" s="1146"/>
      <c r="BF85" s="1146"/>
      <c r="BG85" s="1146"/>
      <c r="BL85" s="892"/>
      <c r="BM85" s="892"/>
      <c r="BN85" s="892"/>
      <c r="BO85" s="892"/>
      <c r="BP85" s="892"/>
      <c r="BQ85" s="892"/>
      <c r="BT85" s="805">
        <f t="shared" si="21"/>
        <v>0</v>
      </c>
      <c r="BU85" s="805">
        <f t="shared" si="22"/>
        <v>0</v>
      </c>
      <c r="BV85" s="291">
        <f t="shared" si="23"/>
        <v>608765</v>
      </c>
      <c r="BW85" s="892"/>
      <c r="BX85" s="892"/>
      <c r="BY85" s="892">
        <f t="shared" si="28"/>
        <v>251235</v>
      </c>
      <c r="BZ85" s="892"/>
      <c r="CA85" s="892"/>
      <c r="CF85" s="1166"/>
      <c r="CG85" s="1166"/>
      <c r="CH85" s="1166"/>
      <c r="CI85" s="1166"/>
      <c r="CJ85" s="1166"/>
      <c r="CK85" s="1166"/>
      <c r="CL85" s="1166"/>
      <c r="CM85" s="1166"/>
      <c r="CN85" s="1166"/>
      <c r="CO85" s="1166"/>
      <c r="CP85" s="1166"/>
      <c r="CQ85" s="1166"/>
      <c r="CR85" s="1166"/>
      <c r="CS85" s="1166"/>
      <c r="CT85" s="1166"/>
      <c r="CU85" s="1166"/>
      <c r="CV85" s="1166"/>
      <c r="CW85" s="1166"/>
      <c r="CX85" s="1166"/>
      <c r="CY85" s="1166"/>
      <c r="CZ85" s="1166"/>
      <c r="DA85" s="1166"/>
    </row>
    <row r="86" s="803" customFormat="1" ht="31" hidden="1" customHeight="1" spans="1:105">
      <c r="A86" s="1144">
        <v>45941</v>
      </c>
      <c r="B86" s="874" t="s">
        <v>514</v>
      </c>
      <c r="C86" s="1146" t="s">
        <v>515</v>
      </c>
      <c r="D86" s="874">
        <v>4500181278</v>
      </c>
      <c r="E86" s="838">
        <v>5200007921</v>
      </c>
      <c r="F86" s="953" t="s">
        <v>516</v>
      </c>
      <c r="G86" s="1145" t="s">
        <v>235</v>
      </c>
      <c r="H86" s="921" t="s">
        <v>236</v>
      </c>
      <c r="I86" s="921">
        <v>780</v>
      </c>
      <c r="J86" s="921">
        <v>0</v>
      </c>
      <c r="K86" s="921">
        <v>13</v>
      </c>
      <c r="L86" s="1151">
        <f t="shared" si="29"/>
        <v>60</v>
      </c>
      <c r="M86" s="848">
        <v>45981</v>
      </c>
      <c r="N86" s="848">
        <v>45978</v>
      </c>
      <c r="O86" s="838"/>
      <c r="P86" s="1152" t="s">
        <v>46</v>
      </c>
      <c r="Q86" s="838"/>
      <c r="R86" s="862">
        <v>45947</v>
      </c>
      <c r="S86" s="862" t="s">
        <v>58</v>
      </c>
      <c r="T86" s="862" t="s">
        <v>517</v>
      </c>
      <c r="U86" s="953" t="s">
        <v>518</v>
      </c>
      <c r="V86" s="1154" t="s">
        <v>519</v>
      </c>
      <c r="W86" s="1155">
        <v>1.8375</v>
      </c>
      <c r="X86" s="1156">
        <f>I86*W86</f>
        <v>1433.25</v>
      </c>
      <c r="Y86" s="838" t="s">
        <v>520</v>
      </c>
      <c r="Z86" s="1145" t="s">
        <v>235</v>
      </c>
      <c r="AA86" s="921" t="s">
        <v>53</v>
      </c>
      <c r="AB86" s="921" t="s">
        <v>54</v>
      </c>
      <c r="AC86" s="838"/>
      <c r="AD86" s="1159">
        <v>780</v>
      </c>
      <c r="AE86" s="850">
        <f t="shared" si="30"/>
        <v>0</v>
      </c>
      <c r="AF86" s="1160"/>
      <c r="AG86" s="838" t="s">
        <v>55</v>
      </c>
      <c r="AH86" s="838"/>
      <c r="AI86" s="830">
        <f t="shared" si="18"/>
        <v>780</v>
      </c>
      <c r="AJ86" s="970"/>
      <c r="AL86" s="970">
        <f>I86</f>
        <v>780</v>
      </c>
      <c r="AM86" s="803">
        <f t="shared" si="27"/>
        <v>780</v>
      </c>
      <c r="AQ86" s="803">
        <f>I86/13</f>
        <v>60</v>
      </c>
      <c r="BC86" s="1146"/>
      <c r="BD86" s="1146"/>
      <c r="BE86" s="1146"/>
      <c r="BF86" s="1146"/>
      <c r="BG86" s="1146"/>
      <c r="BL86" s="892"/>
      <c r="BM86" s="892"/>
      <c r="BN86" s="892"/>
      <c r="BO86" s="892"/>
      <c r="BP86" s="892"/>
      <c r="BQ86" s="892"/>
      <c r="BT86" s="805">
        <f t="shared" si="21"/>
        <v>0</v>
      </c>
      <c r="BU86" s="805">
        <f t="shared" si="22"/>
        <v>0</v>
      </c>
      <c r="BV86" s="291">
        <f t="shared" si="23"/>
        <v>609545</v>
      </c>
      <c r="BW86" s="892"/>
      <c r="BX86" s="892"/>
      <c r="BY86" s="892">
        <f t="shared" si="28"/>
        <v>250455</v>
      </c>
      <c r="BZ86" s="892"/>
      <c r="CA86" s="892"/>
      <c r="CF86" s="1166"/>
      <c r="CG86" s="1166"/>
      <c r="CH86" s="1166"/>
      <c r="CI86" s="1166"/>
      <c r="CJ86" s="1166"/>
      <c r="CK86" s="1166"/>
      <c r="CL86" s="1166"/>
      <c r="CM86" s="1166"/>
      <c r="CN86" s="1166"/>
      <c r="CO86" s="1166"/>
      <c r="CP86" s="1166"/>
      <c r="CQ86" s="1166"/>
      <c r="CR86" s="1166"/>
      <c r="CS86" s="1166"/>
      <c r="CT86" s="1166"/>
      <c r="CU86" s="1166"/>
      <c r="CV86" s="1166"/>
      <c r="CW86" s="1166"/>
      <c r="CX86" s="1166"/>
      <c r="CY86" s="1166"/>
      <c r="CZ86" s="1166"/>
      <c r="DA86" s="1166"/>
    </row>
    <row r="87" s="803" customFormat="1" ht="31" hidden="1" customHeight="1" spans="1:105">
      <c r="A87" s="1144">
        <v>45946</v>
      </c>
      <c r="B87" s="874" t="s">
        <v>199</v>
      </c>
      <c r="C87" s="1146" t="s">
        <v>84</v>
      </c>
      <c r="D87" s="874">
        <v>4500182120</v>
      </c>
      <c r="E87" s="1296" t="s">
        <v>521</v>
      </c>
      <c r="F87" s="874" t="s">
        <v>522</v>
      </c>
      <c r="G87" s="1145" t="s">
        <v>202</v>
      </c>
      <c r="H87" s="921" t="s">
        <v>203</v>
      </c>
      <c r="I87" s="921">
        <v>960</v>
      </c>
      <c r="J87" s="921">
        <v>0</v>
      </c>
      <c r="K87" s="921">
        <v>16</v>
      </c>
      <c r="L87" s="1151">
        <f t="shared" si="29"/>
        <v>60</v>
      </c>
      <c r="M87" s="848">
        <v>45979</v>
      </c>
      <c r="N87" s="848">
        <v>45975</v>
      </c>
      <c r="O87" s="849" t="s">
        <v>523</v>
      </c>
      <c r="P87" s="1152" t="s">
        <v>46</v>
      </c>
      <c r="Q87" s="838"/>
      <c r="R87" s="862" t="s">
        <v>251</v>
      </c>
      <c r="S87" s="862" t="s">
        <v>58</v>
      </c>
      <c r="T87" s="862" t="s">
        <v>420</v>
      </c>
      <c r="U87" s="953" t="s">
        <v>252</v>
      </c>
      <c r="V87" s="1154" t="s">
        <v>207</v>
      </c>
      <c r="W87" s="1155">
        <v>1.2167</v>
      </c>
      <c r="X87" s="1156">
        <f>W87*I87</f>
        <v>1168.032</v>
      </c>
      <c r="Y87" s="838" t="s">
        <v>524</v>
      </c>
      <c r="Z87" s="1145" t="s">
        <v>202</v>
      </c>
      <c r="AA87" s="921" t="s">
        <v>53</v>
      </c>
      <c r="AB87" s="921" t="s">
        <v>54</v>
      </c>
      <c r="AC87" s="838"/>
      <c r="AD87" s="1159">
        <v>960</v>
      </c>
      <c r="AE87" s="1159">
        <f t="shared" si="30"/>
        <v>0</v>
      </c>
      <c r="AF87" s="1160"/>
      <c r="AG87" s="838"/>
      <c r="AH87" s="838"/>
      <c r="AI87" s="830">
        <f t="shared" si="18"/>
        <v>960</v>
      </c>
      <c r="AJ87" s="970">
        <f>I87</f>
        <v>960</v>
      </c>
      <c r="AL87" s="921"/>
      <c r="AM87" s="803">
        <f t="shared" si="27"/>
        <v>960</v>
      </c>
      <c r="AW87" s="803">
        <f>I87/16</f>
        <v>60</v>
      </c>
      <c r="BC87" s="1146"/>
      <c r="BD87" s="1146"/>
      <c r="BE87" s="1146"/>
      <c r="BF87" s="1146"/>
      <c r="BG87" s="1146"/>
      <c r="BL87" s="892"/>
      <c r="BM87" s="892"/>
      <c r="BN87" s="892"/>
      <c r="BO87" s="892"/>
      <c r="BP87" s="892"/>
      <c r="BQ87" s="892"/>
      <c r="BT87" s="805">
        <f t="shared" si="21"/>
        <v>60</v>
      </c>
      <c r="BU87" s="805">
        <f t="shared" si="22"/>
        <v>0</v>
      </c>
      <c r="BV87" s="291">
        <f t="shared" si="23"/>
        <v>610505</v>
      </c>
      <c r="BW87" s="892"/>
      <c r="BX87" s="892"/>
      <c r="BY87" s="892">
        <f t="shared" si="28"/>
        <v>249495</v>
      </c>
      <c r="BZ87" s="892"/>
      <c r="CA87" s="892"/>
      <c r="CF87" s="1166"/>
      <c r="CG87" s="1166"/>
      <c r="CH87" s="1166"/>
      <c r="CI87" s="1166"/>
      <c r="CJ87" s="1166"/>
      <c r="CK87" s="1166"/>
      <c r="CL87" s="1166"/>
      <c r="CM87" s="1166"/>
      <c r="CN87" s="1166"/>
      <c r="CO87" s="1166"/>
      <c r="CP87" s="1166"/>
      <c r="CQ87" s="1166"/>
      <c r="CR87" s="1166"/>
      <c r="CS87" s="1166"/>
      <c r="CT87" s="1166"/>
      <c r="CU87" s="1166"/>
      <c r="CV87" s="1166"/>
      <c r="CW87" s="1166"/>
      <c r="CX87" s="1166"/>
      <c r="CY87" s="1166"/>
      <c r="CZ87" s="1166"/>
      <c r="DA87" s="1166"/>
    </row>
    <row r="88" s="803" customFormat="1" ht="31" hidden="1" customHeight="1" spans="1:105">
      <c r="A88" s="1144">
        <v>45946</v>
      </c>
      <c r="B88" s="874" t="s">
        <v>199</v>
      </c>
      <c r="C88" s="1146" t="s">
        <v>84</v>
      </c>
      <c r="D88" s="874">
        <v>4500182120</v>
      </c>
      <c r="E88" s="1296" t="s">
        <v>525</v>
      </c>
      <c r="F88" s="874" t="s">
        <v>526</v>
      </c>
      <c r="G88" s="1145" t="s">
        <v>202</v>
      </c>
      <c r="H88" s="921" t="s">
        <v>203</v>
      </c>
      <c r="I88" s="921">
        <v>960</v>
      </c>
      <c r="J88" s="921">
        <v>0</v>
      </c>
      <c r="K88" s="921">
        <v>16</v>
      </c>
      <c r="L88" s="1151">
        <f t="shared" si="29"/>
        <v>60</v>
      </c>
      <c r="M88" s="848">
        <v>45979</v>
      </c>
      <c r="N88" s="848">
        <v>45975</v>
      </c>
      <c r="O88" s="849" t="s">
        <v>523</v>
      </c>
      <c r="P88" s="1152" t="s">
        <v>46</v>
      </c>
      <c r="Q88" s="838"/>
      <c r="R88" s="862" t="s">
        <v>251</v>
      </c>
      <c r="S88" s="862" t="s">
        <v>58</v>
      </c>
      <c r="T88" s="862" t="s">
        <v>420</v>
      </c>
      <c r="U88" s="953" t="s">
        <v>252</v>
      </c>
      <c r="V88" s="1154" t="s">
        <v>207</v>
      </c>
      <c r="W88" s="1155">
        <v>1.2167</v>
      </c>
      <c r="X88" s="1156">
        <f>W88*I88</f>
        <v>1168.032</v>
      </c>
      <c r="Y88" s="838" t="s">
        <v>527</v>
      </c>
      <c r="Z88" s="1145" t="s">
        <v>202</v>
      </c>
      <c r="AA88" s="921" t="s">
        <v>53</v>
      </c>
      <c r="AB88" s="921" t="s">
        <v>54</v>
      </c>
      <c r="AC88" s="838"/>
      <c r="AD88" s="1159">
        <v>960</v>
      </c>
      <c r="AE88" s="1159">
        <f t="shared" si="30"/>
        <v>0</v>
      </c>
      <c r="AF88" s="1160"/>
      <c r="AG88" s="838"/>
      <c r="AH88" s="838"/>
      <c r="AI88" s="830">
        <f t="shared" si="18"/>
        <v>960</v>
      </c>
      <c r="AJ88" s="970">
        <f>I88</f>
        <v>960</v>
      </c>
      <c r="AL88" s="921"/>
      <c r="AM88" s="803">
        <f t="shared" si="27"/>
        <v>960</v>
      </c>
      <c r="AW88" s="803">
        <f>I88/16</f>
        <v>60</v>
      </c>
      <c r="BC88" s="1146"/>
      <c r="BD88" s="1146"/>
      <c r="BE88" s="1146"/>
      <c r="BF88" s="1146"/>
      <c r="BG88" s="1146"/>
      <c r="BL88" s="892"/>
      <c r="BM88" s="892"/>
      <c r="BN88" s="892"/>
      <c r="BO88" s="892"/>
      <c r="BP88" s="892"/>
      <c r="BQ88" s="892"/>
      <c r="BT88" s="805">
        <f t="shared" si="21"/>
        <v>60</v>
      </c>
      <c r="BU88" s="805">
        <f t="shared" si="22"/>
        <v>0</v>
      </c>
      <c r="BV88" s="291">
        <f t="shared" si="23"/>
        <v>611465</v>
      </c>
      <c r="BW88" s="892"/>
      <c r="BX88" s="892"/>
      <c r="BY88" s="892">
        <f t="shared" si="28"/>
        <v>248535</v>
      </c>
      <c r="BZ88" s="892"/>
      <c r="CA88" s="892"/>
      <c r="CF88" s="1166"/>
      <c r="CG88" s="1166"/>
      <c r="CH88" s="1166"/>
      <c r="CI88" s="1166"/>
      <c r="CJ88" s="1166"/>
      <c r="CK88" s="1166"/>
      <c r="CL88" s="1166"/>
      <c r="CM88" s="1166"/>
      <c r="CN88" s="1166"/>
      <c r="CO88" s="1166"/>
      <c r="CP88" s="1166"/>
      <c r="CQ88" s="1166"/>
      <c r="CR88" s="1166"/>
      <c r="CS88" s="1166"/>
      <c r="CT88" s="1166"/>
      <c r="CU88" s="1166"/>
      <c r="CV88" s="1166"/>
      <c r="CW88" s="1166"/>
      <c r="CX88" s="1166"/>
      <c r="CY88" s="1166"/>
      <c r="CZ88" s="1166"/>
      <c r="DA88" s="1166"/>
    </row>
    <row r="89" s="803" customFormat="1" ht="31" hidden="1" customHeight="1" spans="1:105">
      <c r="A89" s="1144">
        <v>45946</v>
      </c>
      <c r="B89" s="874" t="s">
        <v>199</v>
      </c>
      <c r="C89" s="1146" t="s">
        <v>84</v>
      </c>
      <c r="D89" s="874">
        <v>4500182120</v>
      </c>
      <c r="E89" s="1296" t="s">
        <v>528</v>
      </c>
      <c r="F89" s="874" t="s">
        <v>529</v>
      </c>
      <c r="G89" s="1145" t="s">
        <v>202</v>
      </c>
      <c r="H89" s="921" t="s">
        <v>203</v>
      </c>
      <c r="I89" s="921">
        <v>960</v>
      </c>
      <c r="J89" s="921">
        <v>0</v>
      </c>
      <c r="K89" s="921">
        <v>16</v>
      </c>
      <c r="L89" s="1151">
        <f t="shared" si="29"/>
        <v>60</v>
      </c>
      <c r="M89" s="848">
        <v>45979</v>
      </c>
      <c r="N89" s="848">
        <v>45975</v>
      </c>
      <c r="O89" s="849" t="s">
        <v>523</v>
      </c>
      <c r="P89" s="1152" t="s">
        <v>46</v>
      </c>
      <c r="Q89" s="838" t="s">
        <v>530</v>
      </c>
      <c r="R89" s="862" t="s">
        <v>251</v>
      </c>
      <c r="S89" s="862" t="s">
        <v>58</v>
      </c>
      <c r="T89" s="862" t="s">
        <v>420</v>
      </c>
      <c r="U89" s="953" t="s">
        <v>252</v>
      </c>
      <c r="V89" s="1154" t="s">
        <v>207</v>
      </c>
      <c r="W89" s="1155">
        <v>1.2167</v>
      </c>
      <c r="X89" s="1156">
        <f>W89*I89</f>
        <v>1168.032</v>
      </c>
      <c r="Y89" s="838" t="s">
        <v>524</v>
      </c>
      <c r="Z89" s="1145" t="s">
        <v>202</v>
      </c>
      <c r="AA89" s="921" t="s">
        <v>53</v>
      </c>
      <c r="AB89" s="921" t="s">
        <v>54</v>
      </c>
      <c r="AC89" s="838"/>
      <c r="AD89" s="1159">
        <v>960</v>
      </c>
      <c r="AE89" s="1159">
        <f t="shared" si="30"/>
        <v>0</v>
      </c>
      <c r="AF89" s="1160"/>
      <c r="AG89" s="838"/>
      <c r="AH89" s="838"/>
      <c r="AI89" s="830">
        <f t="shared" si="18"/>
        <v>960</v>
      </c>
      <c r="AJ89" s="970">
        <f>I89</f>
        <v>960</v>
      </c>
      <c r="AL89" s="921"/>
      <c r="AM89" s="803">
        <f t="shared" si="27"/>
        <v>960</v>
      </c>
      <c r="AW89" s="803">
        <f>I89/16</f>
        <v>60</v>
      </c>
      <c r="BC89" s="1146"/>
      <c r="BD89" s="1146"/>
      <c r="BE89" s="1146"/>
      <c r="BF89" s="1146"/>
      <c r="BG89" s="1146"/>
      <c r="BL89" s="892"/>
      <c r="BM89" s="892"/>
      <c r="BN89" s="892"/>
      <c r="BO89" s="892"/>
      <c r="BP89" s="892"/>
      <c r="BQ89" s="892"/>
      <c r="BT89" s="805">
        <f t="shared" si="21"/>
        <v>60</v>
      </c>
      <c r="BU89" s="805">
        <f t="shared" si="22"/>
        <v>0</v>
      </c>
      <c r="BV89" s="291">
        <f t="shared" si="23"/>
        <v>612425</v>
      </c>
      <c r="BW89" s="892"/>
      <c r="BX89" s="892"/>
      <c r="BY89" s="892">
        <f t="shared" si="28"/>
        <v>247575</v>
      </c>
      <c r="BZ89" s="892"/>
      <c r="CA89" s="892"/>
      <c r="CF89" s="1166"/>
      <c r="CG89" s="1166"/>
      <c r="CH89" s="1166"/>
      <c r="CI89" s="1166"/>
      <c r="CJ89" s="1166"/>
      <c r="CK89" s="1166"/>
      <c r="CL89" s="1166"/>
      <c r="CM89" s="1166"/>
      <c r="CN89" s="1166"/>
      <c r="CO89" s="1166"/>
      <c r="CP89" s="1166"/>
      <c r="CQ89" s="1166"/>
      <c r="CR89" s="1166"/>
      <c r="CS89" s="1166"/>
      <c r="CT89" s="1166"/>
      <c r="CU89" s="1166"/>
      <c r="CV89" s="1166"/>
      <c r="CW89" s="1166"/>
      <c r="CX89" s="1166"/>
      <c r="CY89" s="1166"/>
      <c r="CZ89" s="1166"/>
      <c r="DA89" s="1166"/>
    </row>
    <row r="90" s="803" customFormat="1" ht="31" hidden="1" customHeight="1" spans="1:105">
      <c r="A90" s="1144">
        <v>45941</v>
      </c>
      <c r="B90" s="874" t="s">
        <v>162</v>
      </c>
      <c r="C90" s="1146" t="s">
        <v>84</v>
      </c>
      <c r="D90" s="874">
        <v>4500181503</v>
      </c>
      <c r="E90" s="838" t="s">
        <v>531</v>
      </c>
      <c r="F90" s="953" t="s">
        <v>532</v>
      </c>
      <c r="G90" s="1145" t="s">
        <v>187</v>
      </c>
      <c r="H90" s="921" t="s">
        <v>484</v>
      </c>
      <c r="I90" s="921">
        <v>19125</v>
      </c>
      <c r="J90" s="921">
        <v>0</v>
      </c>
      <c r="K90" s="921">
        <v>25</v>
      </c>
      <c r="L90" s="1151">
        <f t="shared" si="29"/>
        <v>765</v>
      </c>
      <c r="M90" s="848">
        <v>45982</v>
      </c>
      <c r="N90" s="848">
        <v>45978</v>
      </c>
      <c r="O90" s="838"/>
      <c r="P90" s="1152" t="s">
        <v>46</v>
      </c>
      <c r="Q90" s="838"/>
      <c r="R90" s="862">
        <v>45944</v>
      </c>
      <c r="S90" s="862" t="s">
        <v>48</v>
      </c>
      <c r="T90" s="862" t="s">
        <v>364</v>
      </c>
      <c r="U90" s="953" t="s">
        <v>533</v>
      </c>
      <c r="V90" s="1154" t="s">
        <v>168</v>
      </c>
      <c r="W90" s="1155">
        <v>1.1678</v>
      </c>
      <c r="X90" s="1156">
        <f>I90*W90</f>
        <v>22334.175</v>
      </c>
      <c r="Y90" s="838" t="s">
        <v>534</v>
      </c>
      <c r="Z90" s="1145" t="s">
        <v>187</v>
      </c>
      <c r="AA90" s="921" t="s">
        <v>53</v>
      </c>
      <c r="AB90" s="921" t="s">
        <v>54</v>
      </c>
      <c r="AC90" s="838"/>
      <c r="AD90" s="1159">
        <v>19125</v>
      </c>
      <c r="AE90" s="1159">
        <f t="shared" si="30"/>
        <v>0</v>
      </c>
      <c r="AF90" s="1160"/>
      <c r="AG90" s="838" t="s">
        <v>55</v>
      </c>
      <c r="AH90" s="838"/>
      <c r="AI90" s="830">
        <f t="shared" si="18"/>
        <v>19125</v>
      </c>
      <c r="AJ90" s="970">
        <f>I90</f>
        <v>19125</v>
      </c>
      <c r="AL90" s="921"/>
      <c r="AM90" s="803">
        <f t="shared" si="27"/>
        <v>19125</v>
      </c>
      <c r="AR90" s="803">
        <f>I90/25</f>
        <v>765</v>
      </c>
      <c r="BC90" s="1146"/>
      <c r="BD90" s="1146"/>
      <c r="BE90" s="1146"/>
      <c r="BF90" s="1146"/>
      <c r="BG90" s="1146"/>
      <c r="BL90" s="892"/>
      <c r="BM90" s="892"/>
      <c r="BN90" s="892"/>
      <c r="BO90" s="892"/>
      <c r="BP90" s="892"/>
      <c r="BQ90" s="892"/>
      <c r="BT90" s="805">
        <f t="shared" si="21"/>
        <v>765</v>
      </c>
      <c r="BU90" s="805">
        <f t="shared" si="22"/>
        <v>0</v>
      </c>
      <c r="BV90" s="291">
        <f t="shared" si="23"/>
        <v>631550</v>
      </c>
      <c r="BW90" s="892"/>
      <c r="BX90" s="892"/>
      <c r="BY90" s="892">
        <f t="shared" si="28"/>
        <v>228450</v>
      </c>
      <c r="BZ90" s="892"/>
      <c r="CA90" s="892"/>
      <c r="CF90" s="1166"/>
      <c r="CG90" s="1166"/>
      <c r="CH90" s="1166"/>
      <c r="CI90" s="1166"/>
      <c r="CJ90" s="1166"/>
      <c r="CK90" s="1166"/>
      <c r="CL90" s="1166"/>
      <c r="CM90" s="1166"/>
      <c r="CN90" s="1166"/>
      <c r="CO90" s="1166"/>
      <c r="CP90" s="1166"/>
      <c r="CQ90" s="1166"/>
      <c r="CR90" s="1166"/>
      <c r="CS90" s="1166"/>
      <c r="CT90" s="1166"/>
      <c r="CU90" s="1166"/>
      <c r="CV90" s="1166"/>
      <c r="CW90" s="1166"/>
      <c r="CX90" s="1166"/>
      <c r="CY90" s="1166"/>
      <c r="CZ90" s="1166"/>
      <c r="DA90" s="1166"/>
    </row>
    <row r="91" s="803" customFormat="1" ht="31" hidden="1" customHeight="1" spans="1:105">
      <c r="A91" s="1144">
        <v>45932</v>
      </c>
      <c r="B91" s="874" t="s">
        <v>535</v>
      </c>
      <c r="C91" s="1146" t="s">
        <v>70</v>
      </c>
      <c r="D91" s="874">
        <v>4500181154</v>
      </c>
      <c r="E91" s="838" t="s">
        <v>536</v>
      </c>
      <c r="F91" s="953" t="s">
        <v>537</v>
      </c>
      <c r="G91" s="1145" t="s">
        <v>375</v>
      </c>
      <c r="H91" s="1106" t="s">
        <v>376</v>
      </c>
      <c r="I91" s="921">
        <v>600</v>
      </c>
      <c r="J91" s="921">
        <v>0</v>
      </c>
      <c r="K91" s="921">
        <v>12</v>
      </c>
      <c r="L91" s="1151">
        <f t="shared" si="29"/>
        <v>50</v>
      </c>
      <c r="M91" s="848">
        <v>45982</v>
      </c>
      <c r="N91" s="848">
        <v>45978</v>
      </c>
      <c r="O91" s="838"/>
      <c r="P91" s="1152" t="s">
        <v>46</v>
      </c>
      <c r="Q91" s="838"/>
      <c r="R91" s="862" t="s">
        <v>538</v>
      </c>
      <c r="S91" s="862" t="s">
        <v>48</v>
      </c>
      <c r="T91" s="862" t="s">
        <v>539</v>
      </c>
      <c r="U91" s="953" t="s">
        <v>540</v>
      </c>
      <c r="V91" s="1154" t="s">
        <v>541</v>
      </c>
      <c r="W91" s="1155">
        <v>4.82</v>
      </c>
      <c r="X91" s="1156">
        <f>W91*I91</f>
        <v>2892</v>
      </c>
      <c r="Y91" s="1162" t="s">
        <v>542</v>
      </c>
      <c r="Z91" s="838" t="s">
        <v>375</v>
      </c>
      <c r="AA91" s="921" t="s">
        <v>53</v>
      </c>
      <c r="AB91" s="921" t="s">
        <v>54</v>
      </c>
      <c r="AC91" s="838"/>
      <c r="AD91" s="1159">
        <v>600</v>
      </c>
      <c r="AE91" s="1159">
        <f t="shared" si="30"/>
        <v>0</v>
      </c>
      <c r="AF91" s="1160"/>
      <c r="AG91" s="838" t="s">
        <v>55</v>
      </c>
      <c r="AH91" s="838"/>
      <c r="AI91" s="838">
        <f>I91*2</f>
        <v>1200</v>
      </c>
      <c r="AJ91" s="970"/>
      <c r="AK91" s="970">
        <f>I91*2</f>
        <v>1200</v>
      </c>
      <c r="AL91" s="921"/>
      <c r="AM91" s="803">
        <f>I91*2</f>
        <v>1200</v>
      </c>
      <c r="BC91" s="1146"/>
      <c r="BD91" s="1146"/>
      <c r="BE91" s="1146"/>
      <c r="BF91" s="1146"/>
      <c r="BG91" s="1146"/>
      <c r="BH91" s="803">
        <f>I91</f>
        <v>600</v>
      </c>
      <c r="BI91" s="803">
        <f>I91</f>
        <v>600</v>
      </c>
      <c r="BJ91" s="803">
        <f>I91</f>
        <v>600</v>
      </c>
      <c r="BL91" s="892"/>
      <c r="BM91" s="892"/>
      <c r="BN91" s="892"/>
      <c r="BO91" s="892"/>
      <c r="BP91" s="892"/>
      <c r="BQ91" s="892"/>
      <c r="BT91" s="805">
        <f t="shared" si="21"/>
        <v>0</v>
      </c>
      <c r="BU91" s="805">
        <f t="shared" si="22"/>
        <v>0</v>
      </c>
      <c r="BV91" s="291">
        <f t="shared" si="23"/>
        <v>632750</v>
      </c>
      <c r="BW91" s="892"/>
      <c r="BX91" s="892"/>
      <c r="BY91" s="892">
        <f t="shared" si="28"/>
        <v>227250</v>
      </c>
      <c r="BZ91" s="892"/>
      <c r="CA91" s="892"/>
      <c r="CF91" s="1166"/>
      <c r="CG91" s="1166"/>
      <c r="CH91" s="1166"/>
      <c r="CI91" s="1166"/>
      <c r="CJ91" s="1166"/>
      <c r="CK91" s="1166"/>
      <c r="CL91" s="1166"/>
      <c r="CM91" s="1166"/>
      <c r="CN91" s="1166"/>
      <c r="CO91" s="1166"/>
      <c r="CP91" s="1166"/>
      <c r="CQ91" s="1166"/>
      <c r="CR91" s="1166"/>
      <c r="CS91" s="1166"/>
      <c r="CT91" s="1166"/>
      <c r="CU91" s="1166"/>
      <c r="CV91" s="1166"/>
      <c r="CW91" s="1166"/>
      <c r="CX91" s="1166"/>
      <c r="CY91" s="1166"/>
      <c r="CZ91" s="1166"/>
      <c r="DA91" s="1166"/>
    </row>
    <row r="92" s="803" customFormat="1" ht="31" hidden="1" customHeight="1" spans="1:105">
      <c r="A92" s="1144">
        <v>45926</v>
      </c>
      <c r="B92" s="874" t="s">
        <v>543</v>
      </c>
      <c r="C92" s="921" t="s">
        <v>84</v>
      </c>
      <c r="D92" s="874">
        <v>4500180560</v>
      </c>
      <c r="E92" s="1296" t="s">
        <v>544</v>
      </c>
      <c r="F92" s="953" t="s">
        <v>545</v>
      </c>
      <c r="G92" s="1145" t="s">
        <v>390</v>
      </c>
      <c r="H92" s="921" t="s">
        <v>391</v>
      </c>
      <c r="I92" s="921">
        <v>2370</v>
      </c>
      <c r="J92" s="921">
        <v>0</v>
      </c>
      <c r="K92" s="921">
        <v>30</v>
      </c>
      <c r="L92" s="1151">
        <f t="shared" si="29"/>
        <v>79</v>
      </c>
      <c r="M92" s="848">
        <v>45985</v>
      </c>
      <c r="N92" s="848">
        <v>45981</v>
      </c>
      <c r="O92" s="838"/>
      <c r="P92" s="1152" t="s">
        <v>46</v>
      </c>
      <c r="Q92" s="838" t="s">
        <v>546</v>
      </c>
      <c r="R92" s="862">
        <v>45926</v>
      </c>
      <c r="S92" s="862" t="s">
        <v>58</v>
      </c>
      <c r="T92" s="862" t="s">
        <v>58</v>
      </c>
      <c r="U92" s="953" t="s">
        <v>394</v>
      </c>
      <c r="V92" s="1154" t="s">
        <v>395</v>
      </c>
      <c r="W92" s="1155">
        <v>41.52</v>
      </c>
      <c r="X92" s="1156">
        <f>W92*L92</f>
        <v>3280.08</v>
      </c>
      <c r="Y92" s="838" t="s">
        <v>547</v>
      </c>
      <c r="Z92" s="1145" t="s">
        <v>397</v>
      </c>
      <c r="AA92" s="921" t="s">
        <v>53</v>
      </c>
      <c r="AB92" s="921" t="s">
        <v>54</v>
      </c>
      <c r="AC92" s="838"/>
      <c r="AD92" s="1159">
        <v>2370</v>
      </c>
      <c r="AE92" s="1159">
        <f t="shared" si="30"/>
        <v>0</v>
      </c>
      <c r="AF92" s="1160"/>
      <c r="AG92" s="838" t="s">
        <v>58</v>
      </c>
      <c r="AH92" s="838"/>
      <c r="AI92" s="830">
        <f t="shared" ref="AI92:AI97" si="31">I92</f>
        <v>2370</v>
      </c>
      <c r="AJ92" s="921">
        <f>I92</f>
        <v>2370</v>
      </c>
      <c r="AL92" s="970"/>
      <c r="AM92" s="803">
        <f t="shared" ref="AM92:AM97" si="32">I92</f>
        <v>2370</v>
      </c>
      <c r="BC92" s="1146"/>
      <c r="BD92" s="1146"/>
      <c r="BE92" s="1146"/>
      <c r="BF92" s="1146"/>
      <c r="BG92" s="1146">
        <f>I92/K92</f>
        <v>79</v>
      </c>
      <c r="BL92" s="892"/>
      <c r="BM92" s="892"/>
      <c r="BN92" s="892"/>
      <c r="BO92" s="892"/>
      <c r="BP92" s="892"/>
      <c r="BQ92" s="892"/>
      <c r="BT92" s="805">
        <f t="shared" si="21"/>
        <v>0</v>
      </c>
      <c r="BU92" s="805">
        <f t="shared" si="22"/>
        <v>79</v>
      </c>
      <c r="BV92" s="291">
        <f t="shared" si="23"/>
        <v>635120</v>
      </c>
      <c r="BW92" s="892"/>
      <c r="BX92" s="892"/>
      <c r="BY92" s="892">
        <f t="shared" ref="BY87:BY134" si="33">$BX$1+$BY$1-BV92</f>
        <v>224880</v>
      </c>
      <c r="BZ92" s="1167"/>
      <c r="CA92" s="892"/>
      <c r="CF92" s="1166"/>
      <c r="CG92" s="1166"/>
      <c r="CH92" s="1166"/>
      <c r="CI92" s="1166"/>
      <c r="CJ92" s="1166"/>
      <c r="CK92" s="1166"/>
      <c r="CL92" s="1166"/>
      <c r="CM92" s="1166"/>
      <c r="CN92" s="1166"/>
      <c r="CO92" s="1166"/>
      <c r="CP92" s="1166"/>
      <c r="CQ92" s="1166"/>
      <c r="CR92" s="1166"/>
      <c r="CS92" s="1166"/>
      <c r="CT92" s="1166"/>
      <c r="CU92" s="1166"/>
      <c r="CV92" s="1166"/>
      <c r="CW92" s="1166"/>
      <c r="CX92" s="1166"/>
      <c r="CY92" s="1166"/>
      <c r="CZ92" s="1166"/>
      <c r="DA92" s="1166"/>
    </row>
    <row r="93" s="803" customFormat="1" ht="31" hidden="1" customHeight="1" spans="1:105">
      <c r="A93" s="1144">
        <v>45946</v>
      </c>
      <c r="B93" s="874" t="s">
        <v>199</v>
      </c>
      <c r="C93" s="921" t="s">
        <v>84</v>
      </c>
      <c r="D93" s="874">
        <v>4500182123</v>
      </c>
      <c r="E93" s="1296" t="s">
        <v>548</v>
      </c>
      <c r="F93" s="1147" t="s">
        <v>549</v>
      </c>
      <c r="G93" s="1145" t="s">
        <v>202</v>
      </c>
      <c r="H93" s="921" t="s">
        <v>203</v>
      </c>
      <c r="I93" s="921">
        <v>960</v>
      </c>
      <c r="J93" s="921">
        <v>0</v>
      </c>
      <c r="K93" s="921">
        <v>16</v>
      </c>
      <c r="L93" s="1151">
        <f t="shared" si="29"/>
        <v>60</v>
      </c>
      <c r="M93" s="848">
        <v>45985</v>
      </c>
      <c r="N93" s="848">
        <v>45981</v>
      </c>
      <c r="O93" s="849">
        <v>45987</v>
      </c>
      <c r="P93" s="1152" t="s">
        <v>46</v>
      </c>
      <c r="Q93" s="838"/>
      <c r="R93" s="862" t="s">
        <v>251</v>
      </c>
      <c r="S93" s="862" t="s">
        <v>58</v>
      </c>
      <c r="T93" s="862" t="s">
        <v>420</v>
      </c>
      <c r="U93" s="953" t="s">
        <v>252</v>
      </c>
      <c r="V93" s="1154" t="s">
        <v>207</v>
      </c>
      <c r="W93" s="1155">
        <v>1.2167</v>
      </c>
      <c r="X93" s="1156">
        <f>W93*I93</f>
        <v>1168.032</v>
      </c>
      <c r="Y93" s="838" t="s">
        <v>550</v>
      </c>
      <c r="Z93" s="1145" t="s">
        <v>202</v>
      </c>
      <c r="AA93" s="921" t="s">
        <v>53</v>
      </c>
      <c r="AB93" s="921" t="s">
        <v>54</v>
      </c>
      <c r="AC93" s="838"/>
      <c r="AD93" s="1159">
        <v>960</v>
      </c>
      <c r="AE93" s="1159">
        <f t="shared" si="30"/>
        <v>0</v>
      </c>
      <c r="AF93" s="1160"/>
      <c r="AG93" s="838"/>
      <c r="AH93" s="838"/>
      <c r="AI93" s="830">
        <f t="shared" si="31"/>
        <v>960</v>
      </c>
      <c r="AJ93" s="970">
        <f>I93</f>
        <v>960</v>
      </c>
      <c r="AL93" s="970"/>
      <c r="AM93" s="803">
        <f t="shared" si="32"/>
        <v>960</v>
      </c>
      <c r="AW93" s="803">
        <f>I93/16</f>
        <v>60</v>
      </c>
      <c r="BC93" s="1146"/>
      <c r="BD93" s="1146"/>
      <c r="BE93" s="1146"/>
      <c r="BF93" s="1146"/>
      <c r="BG93" s="1146"/>
      <c r="BL93" s="892"/>
      <c r="BM93" s="892"/>
      <c r="BN93" s="892"/>
      <c r="BO93" s="892"/>
      <c r="BP93" s="892"/>
      <c r="BQ93" s="892"/>
      <c r="BT93" s="805">
        <f t="shared" si="21"/>
        <v>60</v>
      </c>
      <c r="BU93" s="805">
        <f t="shared" si="22"/>
        <v>0</v>
      </c>
      <c r="BV93" s="291">
        <f t="shared" si="23"/>
        <v>636080</v>
      </c>
      <c r="BW93" s="892"/>
      <c r="BX93" s="892"/>
      <c r="BY93" s="892">
        <f t="shared" si="33"/>
        <v>223920</v>
      </c>
      <c r="BZ93" s="892"/>
      <c r="CA93" s="892"/>
      <c r="CF93" s="1166"/>
      <c r="CG93" s="1166"/>
      <c r="CH93" s="1166"/>
      <c r="CI93" s="1166"/>
      <c r="CJ93" s="1166"/>
      <c r="CK93" s="1166"/>
      <c r="CL93" s="1166"/>
      <c r="CM93" s="1166"/>
      <c r="CN93" s="1166"/>
      <c r="CO93" s="1166"/>
      <c r="CP93" s="1166"/>
      <c r="CQ93" s="1166"/>
      <c r="CR93" s="1166"/>
      <c r="CS93" s="1166"/>
      <c r="CT93" s="1166"/>
      <c r="CU93" s="1166"/>
      <c r="CV93" s="1166"/>
      <c r="CW93" s="1166"/>
      <c r="CX93" s="1166"/>
      <c r="CY93" s="1166"/>
      <c r="CZ93" s="1166"/>
      <c r="DA93" s="1166"/>
    </row>
    <row r="94" s="803" customFormat="1" ht="31" hidden="1" customHeight="1" spans="1:105">
      <c r="A94" s="1144">
        <v>45941</v>
      </c>
      <c r="B94" s="874" t="s">
        <v>551</v>
      </c>
      <c r="C94" s="1148" t="s">
        <v>552</v>
      </c>
      <c r="D94" s="874">
        <v>4500181542</v>
      </c>
      <c r="E94" s="838" t="s">
        <v>553</v>
      </c>
      <c r="F94" s="1147" t="s">
        <v>554</v>
      </c>
      <c r="G94" s="1145" t="s">
        <v>145</v>
      </c>
      <c r="H94" s="921" t="s">
        <v>137</v>
      </c>
      <c r="I94" s="921">
        <v>624</v>
      </c>
      <c r="J94" s="921">
        <v>0</v>
      </c>
      <c r="K94" s="921">
        <v>52</v>
      </c>
      <c r="L94" s="1151">
        <f t="shared" si="29"/>
        <v>12</v>
      </c>
      <c r="M94" s="848">
        <v>45987</v>
      </c>
      <c r="N94" s="848">
        <v>45983</v>
      </c>
      <c r="O94" s="838"/>
      <c r="P94" s="1152" t="s">
        <v>46</v>
      </c>
      <c r="Q94" s="838"/>
      <c r="R94" s="862">
        <v>45941</v>
      </c>
      <c r="S94" s="862" t="s">
        <v>58</v>
      </c>
      <c r="T94" s="862" t="s">
        <v>555</v>
      </c>
      <c r="U94" s="953" t="s">
        <v>556</v>
      </c>
      <c r="V94" s="1154" t="s">
        <v>214</v>
      </c>
      <c r="W94" s="1155">
        <v>2.15</v>
      </c>
      <c r="X94" s="1156">
        <f>W94*I94</f>
        <v>1341.6</v>
      </c>
      <c r="Y94" s="838" t="s">
        <v>557</v>
      </c>
      <c r="Z94" s="1145" t="s">
        <v>145</v>
      </c>
      <c r="AA94" s="921" t="s">
        <v>53</v>
      </c>
      <c r="AB94" s="921" t="s">
        <v>54</v>
      </c>
      <c r="AC94" s="838"/>
      <c r="AD94" s="1159">
        <v>624</v>
      </c>
      <c r="AE94" s="1159">
        <f t="shared" si="30"/>
        <v>0</v>
      </c>
      <c r="AF94" s="1160"/>
      <c r="AG94" s="838" t="s">
        <v>55</v>
      </c>
      <c r="AH94" s="838"/>
      <c r="AI94" s="830">
        <f t="shared" si="31"/>
        <v>624</v>
      </c>
      <c r="AJ94" s="970">
        <f>I94</f>
        <v>624</v>
      </c>
      <c r="AL94" s="970"/>
      <c r="AM94" s="803">
        <f t="shared" si="32"/>
        <v>624</v>
      </c>
      <c r="AP94" s="803">
        <f>I94/13</f>
        <v>48</v>
      </c>
      <c r="BC94" s="1146"/>
      <c r="BD94" s="1146"/>
      <c r="BE94" s="1146"/>
      <c r="BF94" s="1146"/>
      <c r="BG94" s="1146"/>
      <c r="BL94" s="892"/>
      <c r="BM94" s="892"/>
      <c r="BN94" s="892"/>
      <c r="BO94" s="892"/>
      <c r="BP94" s="892"/>
      <c r="BQ94" s="892"/>
      <c r="BT94" s="805">
        <f t="shared" si="21"/>
        <v>0</v>
      </c>
      <c r="BU94" s="805">
        <f t="shared" si="22"/>
        <v>0</v>
      </c>
      <c r="BV94" s="291">
        <f t="shared" si="23"/>
        <v>636704</v>
      </c>
      <c r="BW94" s="892"/>
      <c r="BX94" s="892"/>
      <c r="BY94" s="892">
        <f t="shared" si="33"/>
        <v>223296</v>
      </c>
      <c r="BZ94" s="892"/>
      <c r="CA94" s="892"/>
      <c r="CF94" s="1166"/>
      <c r="CG94" s="1166"/>
      <c r="CH94" s="1166"/>
      <c r="CI94" s="1166"/>
      <c r="CJ94" s="1166"/>
      <c r="CK94" s="1166"/>
      <c r="CL94" s="1166"/>
      <c r="CM94" s="1166"/>
      <c r="CN94" s="1166"/>
      <c r="CO94" s="1166"/>
      <c r="CP94" s="1166"/>
      <c r="CQ94" s="1166"/>
      <c r="CR94" s="1166"/>
      <c r="CS94" s="1166"/>
      <c r="CT94" s="1166"/>
      <c r="CU94" s="1166"/>
      <c r="CV94" s="1166"/>
      <c r="CW94" s="1166"/>
      <c r="CX94" s="1166"/>
      <c r="CY94" s="1166"/>
      <c r="CZ94" s="1166"/>
      <c r="DA94" s="1166"/>
    </row>
    <row r="95" s="803" customFormat="1" ht="31" hidden="1" customHeight="1" spans="1:105">
      <c r="A95" s="1144">
        <v>45952</v>
      </c>
      <c r="B95" s="874" t="s">
        <v>387</v>
      </c>
      <c r="C95" s="1148" t="s">
        <v>84</v>
      </c>
      <c r="D95" s="874">
        <v>4500182662</v>
      </c>
      <c r="E95" s="838" t="s">
        <v>558</v>
      </c>
      <c r="F95" s="874" t="s">
        <v>559</v>
      </c>
      <c r="G95" s="1145" t="s">
        <v>151</v>
      </c>
      <c r="H95" s="921" t="s">
        <v>152</v>
      </c>
      <c r="I95" s="921">
        <v>1300</v>
      </c>
      <c r="J95" s="921">
        <v>0</v>
      </c>
      <c r="K95" s="921">
        <v>13</v>
      </c>
      <c r="L95" s="1151">
        <f t="shared" si="29"/>
        <v>100</v>
      </c>
      <c r="M95" s="848">
        <v>45987</v>
      </c>
      <c r="N95" s="848">
        <v>45983</v>
      </c>
      <c r="O95" s="838"/>
      <c r="P95" s="1152" t="s">
        <v>46</v>
      </c>
      <c r="Q95" s="838"/>
      <c r="R95" s="862">
        <v>45952</v>
      </c>
      <c r="S95" s="862" t="s">
        <v>58</v>
      </c>
      <c r="T95" s="862" t="s">
        <v>58</v>
      </c>
      <c r="U95" s="954" t="s">
        <v>560</v>
      </c>
      <c r="V95" s="1154" t="s">
        <v>395</v>
      </c>
      <c r="W95" s="1155">
        <v>1.0925</v>
      </c>
      <c r="X95" s="1156">
        <f>I95*W95</f>
        <v>1420.25</v>
      </c>
      <c r="Y95" s="838" t="s">
        <v>561</v>
      </c>
      <c r="Z95" s="1145" t="s">
        <v>151</v>
      </c>
      <c r="AA95" s="921" t="s">
        <v>53</v>
      </c>
      <c r="AB95" s="921" t="s">
        <v>54</v>
      </c>
      <c r="AC95" s="838"/>
      <c r="AD95" s="1159">
        <v>1300</v>
      </c>
      <c r="AE95" s="1159">
        <f t="shared" si="30"/>
        <v>0</v>
      </c>
      <c r="AF95" s="1160"/>
      <c r="AG95" s="838" t="s">
        <v>58</v>
      </c>
      <c r="AH95" s="838"/>
      <c r="AI95" s="830">
        <f t="shared" si="31"/>
        <v>1300</v>
      </c>
      <c r="AJ95" s="970">
        <f>I95</f>
        <v>1300</v>
      </c>
      <c r="AL95" s="970"/>
      <c r="AM95" s="803">
        <f t="shared" si="32"/>
        <v>1300</v>
      </c>
      <c r="AP95" s="803">
        <f>I95/13</f>
        <v>100</v>
      </c>
      <c r="BC95" s="1146"/>
      <c r="BD95" s="1146"/>
      <c r="BE95" s="1146"/>
      <c r="BF95" s="1146"/>
      <c r="BG95" s="1146"/>
      <c r="BL95" s="892"/>
      <c r="BM95" s="892"/>
      <c r="BN95" s="892"/>
      <c r="BO95" s="892"/>
      <c r="BP95" s="892"/>
      <c r="BQ95" s="892"/>
      <c r="BT95" s="805">
        <f t="shared" si="21"/>
        <v>0</v>
      </c>
      <c r="BU95" s="805">
        <f t="shared" si="22"/>
        <v>0</v>
      </c>
      <c r="BV95" s="291">
        <f t="shared" si="23"/>
        <v>638004</v>
      </c>
      <c r="BW95" s="892"/>
      <c r="BX95" s="892"/>
      <c r="BY95" s="892">
        <f t="shared" si="33"/>
        <v>221996</v>
      </c>
      <c r="BZ95" s="892"/>
      <c r="CA95" s="892"/>
      <c r="CF95" s="1166"/>
      <c r="CG95" s="1166"/>
      <c r="CH95" s="1166"/>
      <c r="CI95" s="1166"/>
      <c r="CJ95" s="1166"/>
      <c r="CK95" s="1166"/>
      <c r="CL95" s="1166"/>
      <c r="CM95" s="1166"/>
      <c r="CN95" s="1166"/>
      <c r="CO95" s="1166"/>
      <c r="CP95" s="1166"/>
      <c r="CQ95" s="1166"/>
      <c r="CR95" s="1166"/>
      <c r="CS95" s="1166"/>
      <c r="CT95" s="1166"/>
      <c r="CU95" s="1166"/>
      <c r="CV95" s="1166"/>
      <c r="CW95" s="1166"/>
      <c r="CX95" s="1166"/>
      <c r="CY95" s="1166"/>
      <c r="CZ95" s="1166"/>
      <c r="DA95" s="1166"/>
    </row>
    <row r="96" s="803" customFormat="1" ht="31" hidden="1" customHeight="1" spans="1:105">
      <c r="A96" s="1144">
        <v>45952</v>
      </c>
      <c r="B96" s="874" t="s">
        <v>387</v>
      </c>
      <c r="C96" s="1148" t="s">
        <v>84</v>
      </c>
      <c r="D96" s="874">
        <v>4500182662</v>
      </c>
      <c r="E96" s="838" t="s">
        <v>562</v>
      </c>
      <c r="F96" s="874" t="s">
        <v>563</v>
      </c>
      <c r="G96" s="1145" t="s">
        <v>151</v>
      </c>
      <c r="H96" s="921" t="s">
        <v>152</v>
      </c>
      <c r="I96" s="921">
        <v>1950</v>
      </c>
      <c r="J96" s="921">
        <v>0</v>
      </c>
      <c r="K96" s="921">
        <v>13</v>
      </c>
      <c r="L96" s="1151">
        <f t="shared" si="29"/>
        <v>150</v>
      </c>
      <c r="M96" s="848">
        <v>45987</v>
      </c>
      <c r="N96" s="848">
        <v>45983</v>
      </c>
      <c r="O96" s="838"/>
      <c r="P96" s="1152" t="s">
        <v>46</v>
      </c>
      <c r="Q96" s="838"/>
      <c r="R96" s="862">
        <v>45952</v>
      </c>
      <c r="S96" s="862" t="s">
        <v>58</v>
      </c>
      <c r="T96" s="862" t="s">
        <v>58</v>
      </c>
      <c r="U96" s="954" t="s">
        <v>560</v>
      </c>
      <c r="V96" s="1154" t="s">
        <v>395</v>
      </c>
      <c r="W96" s="1155">
        <v>1.1025</v>
      </c>
      <c r="X96" s="1156">
        <f>I96*W96</f>
        <v>2149.875</v>
      </c>
      <c r="Y96" s="838" t="s">
        <v>564</v>
      </c>
      <c r="Z96" s="1145" t="s">
        <v>151</v>
      </c>
      <c r="AA96" s="921" t="s">
        <v>53</v>
      </c>
      <c r="AB96" s="921" t="s">
        <v>54</v>
      </c>
      <c r="AC96" s="838"/>
      <c r="AD96" s="1159">
        <v>1950</v>
      </c>
      <c r="AE96" s="1159">
        <f t="shared" si="30"/>
        <v>0</v>
      </c>
      <c r="AF96" s="1160"/>
      <c r="AG96" s="838" t="s">
        <v>58</v>
      </c>
      <c r="AH96" s="838"/>
      <c r="AI96" s="830">
        <f t="shared" si="31"/>
        <v>1950</v>
      </c>
      <c r="AJ96" s="970">
        <f>I96</f>
        <v>1950</v>
      </c>
      <c r="AL96" s="970"/>
      <c r="AM96" s="803">
        <f t="shared" si="32"/>
        <v>1950</v>
      </c>
      <c r="AP96" s="803">
        <f>I96/13</f>
        <v>150</v>
      </c>
      <c r="BC96" s="1146"/>
      <c r="BD96" s="1146"/>
      <c r="BE96" s="1146"/>
      <c r="BF96" s="1146"/>
      <c r="BG96" s="1146"/>
      <c r="BL96" s="892"/>
      <c r="BM96" s="892"/>
      <c r="BN96" s="892"/>
      <c r="BO96" s="892"/>
      <c r="BP96" s="892"/>
      <c r="BQ96" s="892"/>
      <c r="BT96" s="805">
        <f t="shared" si="21"/>
        <v>0</v>
      </c>
      <c r="BU96" s="805">
        <f t="shared" si="22"/>
        <v>0</v>
      </c>
      <c r="BV96" s="291">
        <f t="shared" si="23"/>
        <v>639954</v>
      </c>
      <c r="BW96" s="892"/>
      <c r="BX96" s="892"/>
      <c r="BY96" s="892">
        <f t="shared" si="33"/>
        <v>220046</v>
      </c>
      <c r="BZ96" s="892"/>
      <c r="CA96" s="892"/>
      <c r="CF96" s="1166"/>
      <c r="CG96" s="1166"/>
      <c r="CH96" s="1166"/>
      <c r="CI96" s="1166"/>
      <c r="CJ96" s="1166"/>
      <c r="CK96" s="1166"/>
      <c r="CL96" s="1166"/>
      <c r="CM96" s="1166"/>
      <c r="CN96" s="1166"/>
      <c r="CO96" s="1166"/>
      <c r="CP96" s="1166"/>
      <c r="CQ96" s="1166"/>
      <c r="CR96" s="1166"/>
      <c r="CS96" s="1166"/>
      <c r="CT96" s="1166"/>
      <c r="CU96" s="1166"/>
      <c r="CV96" s="1166"/>
      <c r="CW96" s="1166"/>
      <c r="CX96" s="1166"/>
      <c r="CY96" s="1166"/>
      <c r="CZ96" s="1166"/>
      <c r="DA96" s="1166"/>
    </row>
    <row r="97" s="803" customFormat="1" ht="31" hidden="1" customHeight="1" spans="1:105">
      <c r="A97" s="1144">
        <v>45930</v>
      </c>
      <c r="B97" s="874" t="s">
        <v>565</v>
      </c>
      <c r="C97" s="1148" t="s">
        <v>566</v>
      </c>
      <c r="D97" s="874">
        <v>4500181046</v>
      </c>
      <c r="E97" s="838" t="s">
        <v>567</v>
      </c>
      <c r="F97" s="1147" t="s">
        <v>568</v>
      </c>
      <c r="G97" s="1145" t="s">
        <v>151</v>
      </c>
      <c r="H97" s="921" t="s">
        <v>152</v>
      </c>
      <c r="I97" s="921">
        <v>1170</v>
      </c>
      <c r="J97" s="921">
        <v>0</v>
      </c>
      <c r="K97" s="921">
        <v>13</v>
      </c>
      <c r="L97" s="1151">
        <f t="shared" si="29"/>
        <v>90</v>
      </c>
      <c r="M97" s="848">
        <v>45988</v>
      </c>
      <c r="N97" s="848">
        <v>45985</v>
      </c>
      <c r="O97" s="838"/>
      <c r="P97" s="1152" t="s">
        <v>46</v>
      </c>
      <c r="Q97" s="838"/>
      <c r="R97" s="862">
        <v>45930</v>
      </c>
      <c r="S97" s="862" t="s">
        <v>58</v>
      </c>
      <c r="T97" s="862" t="s">
        <v>569</v>
      </c>
      <c r="U97" s="953" t="s">
        <v>570</v>
      </c>
      <c r="V97" s="1154" t="s">
        <v>478</v>
      </c>
      <c r="W97" s="1155">
        <v>2.39</v>
      </c>
      <c r="X97" s="1156">
        <f>I97*W97</f>
        <v>2796.3</v>
      </c>
      <c r="Y97" s="838" t="s">
        <v>571</v>
      </c>
      <c r="Z97" s="1145" t="s">
        <v>480</v>
      </c>
      <c r="AA97" s="921" t="s">
        <v>53</v>
      </c>
      <c r="AB97" s="921" t="s">
        <v>54</v>
      </c>
      <c r="AC97" s="838"/>
      <c r="AD97" s="1159">
        <v>1170</v>
      </c>
      <c r="AE97" s="1159">
        <f t="shared" si="30"/>
        <v>0</v>
      </c>
      <c r="AF97" s="1160"/>
      <c r="AG97" s="838" t="s">
        <v>55</v>
      </c>
      <c r="AH97" s="838"/>
      <c r="AI97" s="830">
        <f t="shared" si="31"/>
        <v>1170</v>
      </c>
      <c r="AJ97" s="921"/>
      <c r="AL97" s="970">
        <f>I97</f>
        <v>1170</v>
      </c>
      <c r="AM97" s="803">
        <f t="shared" si="32"/>
        <v>1170</v>
      </c>
      <c r="AQ97" s="803">
        <f>I97/13</f>
        <v>90</v>
      </c>
      <c r="BC97" s="1146"/>
      <c r="BD97" s="1146"/>
      <c r="BE97" s="1146"/>
      <c r="BF97" s="1146"/>
      <c r="BG97" s="1146"/>
      <c r="BL97" s="892"/>
      <c r="BM97" s="892"/>
      <c r="BN97" s="892"/>
      <c r="BO97" s="892"/>
      <c r="BP97" s="892"/>
      <c r="BQ97" s="892"/>
      <c r="BT97" s="805">
        <f t="shared" si="21"/>
        <v>0</v>
      </c>
      <c r="BU97" s="805">
        <f t="shared" si="22"/>
        <v>0</v>
      </c>
      <c r="BV97" s="291">
        <f t="shared" si="23"/>
        <v>641124</v>
      </c>
      <c r="BW97" s="892"/>
      <c r="BX97" s="892"/>
      <c r="BY97" s="892">
        <f t="shared" si="33"/>
        <v>218876</v>
      </c>
      <c r="BZ97" s="892"/>
      <c r="CA97" s="892"/>
      <c r="CF97" s="1166"/>
      <c r="CG97" s="1166"/>
      <c r="CH97" s="1166"/>
      <c r="CI97" s="1166"/>
      <c r="CJ97" s="1166"/>
      <c r="CK97" s="1166"/>
      <c r="CL97" s="1166"/>
      <c r="CM97" s="1166"/>
      <c r="CN97" s="1166"/>
      <c r="CO97" s="1166"/>
      <c r="CP97" s="1166"/>
      <c r="CQ97" s="1166"/>
      <c r="CR97" s="1166"/>
      <c r="CS97" s="1166"/>
      <c r="CT97" s="1166"/>
      <c r="CU97" s="1166"/>
      <c r="CV97" s="1166"/>
      <c r="CW97" s="1166"/>
      <c r="CX97" s="1166"/>
      <c r="CY97" s="1166"/>
      <c r="CZ97" s="1166"/>
      <c r="DA97" s="1166"/>
    </row>
    <row r="98" s="803" customFormat="1" ht="31" hidden="1" customHeight="1" spans="1:105">
      <c r="A98" s="1144">
        <v>45930</v>
      </c>
      <c r="B98" s="874" t="s">
        <v>572</v>
      </c>
      <c r="C98" s="1148" t="s">
        <v>573</v>
      </c>
      <c r="D98" s="874">
        <v>4500181123</v>
      </c>
      <c r="E98" s="838" t="s">
        <v>574</v>
      </c>
      <c r="F98" s="1147" t="s">
        <v>575</v>
      </c>
      <c r="G98" s="1145" t="s">
        <v>375</v>
      </c>
      <c r="H98" s="1106" t="s">
        <v>376</v>
      </c>
      <c r="I98" s="921">
        <v>504</v>
      </c>
      <c r="J98" s="921">
        <v>0</v>
      </c>
      <c r="K98" s="921">
        <v>12</v>
      </c>
      <c r="L98" s="1151">
        <f t="shared" si="29"/>
        <v>42</v>
      </c>
      <c r="M98" s="848">
        <v>45988</v>
      </c>
      <c r="N98" s="848">
        <v>45985</v>
      </c>
      <c r="O98" s="838"/>
      <c r="P98" s="1152" t="s">
        <v>46</v>
      </c>
      <c r="Q98" s="838" t="s">
        <v>576</v>
      </c>
      <c r="R98" s="862" t="s">
        <v>538</v>
      </c>
      <c r="S98" s="862" t="s">
        <v>48</v>
      </c>
      <c r="T98" s="862" t="s">
        <v>577</v>
      </c>
      <c r="U98" s="954" t="s">
        <v>578</v>
      </c>
      <c r="V98" s="1154" t="s">
        <v>579</v>
      </c>
      <c r="W98" s="1157">
        <v>2.7354</v>
      </c>
      <c r="X98" s="1156">
        <f>W98*I98</f>
        <v>1378.6416</v>
      </c>
      <c r="Y98" s="838" t="s">
        <v>580</v>
      </c>
      <c r="Z98" s="838" t="s">
        <v>375</v>
      </c>
      <c r="AA98" s="921" t="s">
        <v>53</v>
      </c>
      <c r="AB98" s="921" t="s">
        <v>54</v>
      </c>
      <c r="AC98" s="838"/>
      <c r="AD98" s="1159">
        <v>504</v>
      </c>
      <c r="AE98" s="1159">
        <f t="shared" si="30"/>
        <v>0</v>
      </c>
      <c r="AF98" s="1160"/>
      <c r="AG98" s="838"/>
      <c r="AH98" s="838"/>
      <c r="AI98" s="838">
        <f>I98*2</f>
        <v>1008</v>
      </c>
      <c r="AJ98" s="921"/>
      <c r="AK98" s="970">
        <f>I98*2</f>
        <v>1008</v>
      </c>
      <c r="AL98" s="970"/>
      <c r="AM98" s="803">
        <f>I98*2</f>
        <v>1008</v>
      </c>
      <c r="BC98" s="1146"/>
      <c r="BD98" s="1146"/>
      <c r="BE98" s="1146"/>
      <c r="BF98" s="1146"/>
      <c r="BG98" s="1146"/>
      <c r="BH98" s="803">
        <f>I98</f>
        <v>504</v>
      </c>
      <c r="BI98" s="803">
        <f>I98</f>
        <v>504</v>
      </c>
      <c r="BJ98" s="803">
        <f>I98</f>
        <v>504</v>
      </c>
      <c r="BL98" s="892"/>
      <c r="BM98" s="892"/>
      <c r="BN98" s="892"/>
      <c r="BO98" s="892"/>
      <c r="BP98" s="892"/>
      <c r="BQ98" s="892"/>
      <c r="BT98" s="805">
        <f t="shared" si="21"/>
        <v>0</v>
      </c>
      <c r="BU98" s="805">
        <f t="shared" si="22"/>
        <v>0</v>
      </c>
      <c r="BV98" s="291">
        <f t="shared" si="23"/>
        <v>642132</v>
      </c>
      <c r="BW98" s="892"/>
      <c r="BX98" s="892"/>
      <c r="BY98" s="892">
        <f t="shared" si="33"/>
        <v>217868</v>
      </c>
      <c r="BZ98" s="892"/>
      <c r="CA98" s="892"/>
      <c r="CF98" s="1166"/>
      <c r="CG98" s="1166"/>
      <c r="CH98" s="1166"/>
      <c r="CI98" s="1166"/>
      <c r="CJ98" s="1166"/>
      <c r="CK98" s="1166"/>
      <c r="CL98" s="1166"/>
      <c r="CM98" s="1166"/>
      <c r="CN98" s="1166"/>
      <c r="CO98" s="1166"/>
      <c r="CP98" s="1166"/>
      <c r="CQ98" s="1166"/>
      <c r="CR98" s="1166"/>
      <c r="CS98" s="1166"/>
      <c r="CT98" s="1166"/>
      <c r="CU98" s="1166"/>
      <c r="CV98" s="1166"/>
      <c r="CW98" s="1166"/>
      <c r="CX98" s="1166"/>
      <c r="CY98" s="1166"/>
      <c r="CZ98" s="1166"/>
      <c r="DA98" s="1166"/>
    </row>
    <row r="99" s="803" customFormat="1" ht="31" hidden="1" customHeight="1" spans="1:105">
      <c r="A99" s="1144">
        <v>45930</v>
      </c>
      <c r="B99" s="874" t="s">
        <v>572</v>
      </c>
      <c r="C99" s="1148" t="s">
        <v>581</v>
      </c>
      <c r="D99" s="874">
        <v>4500181123</v>
      </c>
      <c r="E99" s="838" t="s">
        <v>582</v>
      </c>
      <c r="F99" s="1147" t="s">
        <v>583</v>
      </c>
      <c r="G99" s="1145" t="s">
        <v>375</v>
      </c>
      <c r="H99" s="1106" t="s">
        <v>376</v>
      </c>
      <c r="I99" s="921">
        <v>504</v>
      </c>
      <c r="J99" s="921">
        <v>0</v>
      </c>
      <c r="K99" s="921">
        <v>12</v>
      </c>
      <c r="L99" s="1151">
        <f t="shared" si="29"/>
        <v>42</v>
      </c>
      <c r="M99" s="848">
        <v>45988</v>
      </c>
      <c r="N99" s="848">
        <v>45985</v>
      </c>
      <c r="O99" s="838"/>
      <c r="P99" s="1152" t="s">
        <v>46</v>
      </c>
      <c r="Q99" s="838" t="s">
        <v>576</v>
      </c>
      <c r="R99" s="862" t="s">
        <v>538</v>
      </c>
      <c r="S99" s="862" t="s">
        <v>48</v>
      </c>
      <c r="T99" s="862" t="s">
        <v>577</v>
      </c>
      <c r="U99" s="954" t="s">
        <v>578</v>
      </c>
      <c r="V99" s="1154" t="s">
        <v>579</v>
      </c>
      <c r="W99" s="1157">
        <v>2.7354</v>
      </c>
      <c r="X99" s="1156">
        <f>W99*I99</f>
        <v>1378.6416</v>
      </c>
      <c r="Y99" s="838" t="s">
        <v>584</v>
      </c>
      <c r="Z99" s="838" t="s">
        <v>375</v>
      </c>
      <c r="AA99" s="921" t="s">
        <v>53</v>
      </c>
      <c r="AB99" s="921" t="s">
        <v>54</v>
      </c>
      <c r="AC99" s="838"/>
      <c r="AD99" s="1159">
        <v>504</v>
      </c>
      <c r="AE99" s="1159">
        <f t="shared" si="30"/>
        <v>0</v>
      </c>
      <c r="AF99" s="1160"/>
      <c r="AG99" s="838"/>
      <c r="AH99" s="838"/>
      <c r="AI99" s="838">
        <f>I99*2</f>
        <v>1008</v>
      </c>
      <c r="AJ99" s="921"/>
      <c r="AK99" s="970">
        <f>I99*2</f>
        <v>1008</v>
      </c>
      <c r="AL99" s="970"/>
      <c r="AM99" s="803">
        <f>I99*2</f>
        <v>1008</v>
      </c>
      <c r="BC99" s="1146"/>
      <c r="BD99" s="1146"/>
      <c r="BE99" s="1146"/>
      <c r="BF99" s="1146"/>
      <c r="BG99" s="1146"/>
      <c r="BH99" s="803">
        <f>I99</f>
        <v>504</v>
      </c>
      <c r="BI99" s="803">
        <f>I99</f>
        <v>504</v>
      </c>
      <c r="BJ99" s="803">
        <f>I99</f>
        <v>504</v>
      </c>
      <c r="BL99" s="892"/>
      <c r="BM99" s="892"/>
      <c r="BN99" s="892"/>
      <c r="BO99" s="892"/>
      <c r="BP99" s="892"/>
      <c r="BQ99" s="892"/>
      <c r="BT99" s="805">
        <f t="shared" ref="BT99:BT130" si="34">AR99+AS99+AW99</f>
        <v>0</v>
      </c>
      <c r="BU99" s="805">
        <f t="shared" ref="BU99:BU130" si="35">BD99+BE99+BG99</f>
        <v>0</v>
      </c>
      <c r="BV99" s="291">
        <f t="shared" si="23"/>
        <v>643140</v>
      </c>
      <c r="BW99" s="892"/>
      <c r="BX99" s="892"/>
      <c r="BY99" s="892">
        <f t="shared" si="33"/>
        <v>216860</v>
      </c>
      <c r="BZ99" s="892"/>
      <c r="CA99" s="892"/>
      <c r="CF99" s="1166"/>
      <c r="CG99" s="1166"/>
      <c r="CH99" s="1166"/>
      <c r="CI99" s="1166"/>
      <c r="CJ99" s="1166"/>
      <c r="CK99" s="1166"/>
      <c r="CL99" s="1166"/>
      <c r="CM99" s="1166"/>
      <c r="CN99" s="1166"/>
      <c r="CO99" s="1166"/>
      <c r="CP99" s="1166"/>
      <c r="CQ99" s="1166"/>
      <c r="CR99" s="1166"/>
      <c r="CS99" s="1166"/>
      <c r="CT99" s="1166"/>
      <c r="CU99" s="1166"/>
      <c r="CV99" s="1166"/>
      <c r="CW99" s="1166"/>
      <c r="CX99" s="1166"/>
      <c r="CY99" s="1166"/>
      <c r="CZ99" s="1166"/>
      <c r="DA99" s="1166"/>
    </row>
    <row r="100" s="803" customFormat="1" ht="31" hidden="1" customHeight="1" spans="1:105">
      <c r="A100" s="1144">
        <v>45946</v>
      </c>
      <c r="B100" s="874" t="s">
        <v>585</v>
      </c>
      <c r="C100" s="1148" t="s">
        <v>586</v>
      </c>
      <c r="D100" s="874">
        <v>4500182163</v>
      </c>
      <c r="E100" s="838">
        <v>14873</v>
      </c>
      <c r="F100" s="1147" t="s">
        <v>587</v>
      </c>
      <c r="G100" s="1145" t="s">
        <v>151</v>
      </c>
      <c r="H100" s="921" t="s">
        <v>152</v>
      </c>
      <c r="I100" s="921">
        <v>130</v>
      </c>
      <c r="J100" s="921">
        <v>0</v>
      </c>
      <c r="K100" s="921">
        <v>13</v>
      </c>
      <c r="L100" s="1151">
        <f t="shared" si="29"/>
        <v>10</v>
      </c>
      <c r="M100" s="848">
        <v>45989</v>
      </c>
      <c r="N100" s="848">
        <v>45985</v>
      </c>
      <c r="O100" s="838"/>
      <c r="P100" s="1152" t="s">
        <v>46</v>
      </c>
      <c r="Q100" s="838"/>
      <c r="R100" s="862">
        <v>45946</v>
      </c>
      <c r="S100" s="862" t="s">
        <v>58</v>
      </c>
      <c r="T100" s="862" t="s">
        <v>352</v>
      </c>
      <c r="U100" s="953" t="s">
        <v>588</v>
      </c>
      <c r="V100" s="1154" t="s">
        <v>589</v>
      </c>
      <c r="W100" s="1155">
        <v>1.8208</v>
      </c>
      <c r="X100" s="1156">
        <f>I100*W100</f>
        <v>236.704</v>
      </c>
      <c r="Y100" s="838" t="s">
        <v>590</v>
      </c>
      <c r="Z100" s="1145" t="s">
        <v>480</v>
      </c>
      <c r="AA100" s="921" t="s">
        <v>53</v>
      </c>
      <c r="AB100" s="921" t="s">
        <v>54</v>
      </c>
      <c r="AC100" s="838"/>
      <c r="AD100" s="1159">
        <v>130</v>
      </c>
      <c r="AE100" s="1159">
        <f t="shared" si="30"/>
        <v>0</v>
      </c>
      <c r="AF100" s="1160"/>
      <c r="AG100" s="874" t="s">
        <v>55</v>
      </c>
      <c r="AH100" s="838"/>
      <c r="AI100" s="830">
        <f>I100</f>
        <v>130</v>
      </c>
      <c r="AJ100" s="921"/>
      <c r="AL100" s="970">
        <f>I100</f>
        <v>130</v>
      </c>
      <c r="AM100" s="803">
        <f>I100</f>
        <v>130</v>
      </c>
      <c r="AQ100" s="803">
        <f>I100/13</f>
        <v>10</v>
      </c>
      <c r="BC100" s="1146"/>
      <c r="BD100" s="1146"/>
      <c r="BE100" s="1146"/>
      <c r="BF100" s="1146"/>
      <c r="BG100" s="1146"/>
      <c r="BL100" s="892"/>
      <c r="BM100" s="892"/>
      <c r="BN100" s="892"/>
      <c r="BO100" s="892"/>
      <c r="BP100" s="892"/>
      <c r="BQ100" s="892"/>
      <c r="BT100" s="805">
        <f t="shared" si="34"/>
        <v>0</v>
      </c>
      <c r="BU100" s="805">
        <f t="shared" si="35"/>
        <v>0</v>
      </c>
      <c r="BV100" s="291">
        <f t="shared" si="23"/>
        <v>643270</v>
      </c>
      <c r="BW100" s="892"/>
      <c r="BX100" s="892"/>
      <c r="BY100" s="892">
        <f t="shared" si="33"/>
        <v>216730</v>
      </c>
      <c r="BZ100" s="892"/>
      <c r="CA100" s="892"/>
      <c r="CF100" s="1166"/>
      <c r="CG100" s="1166"/>
      <c r="CH100" s="1166"/>
      <c r="CI100" s="1166"/>
      <c r="CJ100" s="1166"/>
      <c r="CK100" s="1166"/>
      <c r="CL100" s="1166"/>
      <c r="CM100" s="1166"/>
      <c r="CN100" s="1166"/>
      <c r="CO100" s="1166"/>
      <c r="CP100" s="1166"/>
      <c r="CQ100" s="1166"/>
      <c r="CR100" s="1166"/>
      <c r="CS100" s="1166"/>
      <c r="CT100" s="1166"/>
      <c r="CU100" s="1166"/>
      <c r="CV100" s="1166"/>
      <c r="CW100" s="1166"/>
      <c r="CX100" s="1166"/>
      <c r="CY100" s="1166"/>
      <c r="CZ100" s="1166"/>
      <c r="DA100" s="1166"/>
    </row>
    <row r="101" s="803" customFormat="1" ht="31" hidden="1" customHeight="1" spans="1:105">
      <c r="A101" s="1144">
        <v>45946</v>
      </c>
      <c r="B101" s="874" t="s">
        <v>585</v>
      </c>
      <c r="C101" s="1148" t="s">
        <v>586</v>
      </c>
      <c r="D101" s="874">
        <v>4500182163</v>
      </c>
      <c r="E101" s="838">
        <v>14873</v>
      </c>
      <c r="F101" s="1147" t="s">
        <v>591</v>
      </c>
      <c r="G101" s="1145" t="s">
        <v>390</v>
      </c>
      <c r="H101" s="921" t="s">
        <v>592</v>
      </c>
      <c r="I101" s="921">
        <v>180</v>
      </c>
      <c r="J101" s="921">
        <v>0</v>
      </c>
      <c r="K101" s="921">
        <v>30</v>
      </c>
      <c r="L101" s="1151">
        <f t="shared" si="29"/>
        <v>6</v>
      </c>
      <c r="M101" s="848">
        <v>45989</v>
      </c>
      <c r="N101" s="848">
        <v>45985</v>
      </c>
      <c r="O101" s="838"/>
      <c r="P101" s="1152" t="s">
        <v>46</v>
      </c>
      <c r="Q101" s="838"/>
      <c r="R101" s="862">
        <v>45946</v>
      </c>
      <c r="S101" s="862" t="s">
        <v>58</v>
      </c>
      <c r="T101" s="862" t="s">
        <v>352</v>
      </c>
      <c r="U101" s="954" t="s">
        <v>593</v>
      </c>
      <c r="V101" s="1154" t="s">
        <v>589</v>
      </c>
      <c r="W101" s="1155">
        <v>69.2</v>
      </c>
      <c r="X101" s="1156">
        <f>W101*L101</f>
        <v>415.2</v>
      </c>
      <c r="Y101" s="838" t="s">
        <v>590</v>
      </c>
      <c r="Z101" s="1145" t="s">
        <v>390</v>
      </c>
      <c r="AA101" s="921" t="s">
        <v>53</v>
      </c>
      <c r="AB101" s="921" t="s">
        <v>54</v>
      </c>
      <c r="AC101" s="838"/>
      <c r="AD101" s="1159">
        <v>180</v>
      </c>
      <c r="AE101" s="1159">
        <f t="shared" si="30"/>
        <v>0</v>
      </c>
      <c r="AF101" s="1160"/>
      <c r="AG101" s="873"/>
      <c r="AH101" s="838"/>
      <c r="AI101" s="830">
        <f>I101</f>
        <v>180</v>
      </c>
      <c r="AJ101" s="921"/>
      <c r="AL101" s="921">
        <f>K101</f>
        <v>30</v>
      </c>
      <c r="AM101" s="803">
        <f>I101</f>
        <v>180</v>
      </c>
      <c r="BC101" s="1146"/>
      <c r="BD101" s="1146"/>
      <c r="BE101" s="1146"/>
      <c r="BF101" s="1146"/>
      <c r="BG101" s="1146">
        <f>L101</f>
        <v>6</v>
      </c>
      <c r="BL101" s="892"/>
      <c r="BM101" s="892"/>
      <c r="BN101" s="892"/>
      <c r="BO101" s="892"/>
      <c r="BP101" s="892"/>
      <c r="BQ101" s="892"/>
      <c r="BT101" s="805">
        <f t="shared" si="34"/>
        <v>0</v>
      </c>
      <c r="BU101" s="805">
        <f t="shared" si="35"/>
        <v>6</v>
      </c>
      <c r="BV101" s="291">
        <f t="shared" si="23"/>
        <v>643450</v>
      </c>
      <c r="BW101" s="892"/>
      <c r="BX101" s="892"/>
      <c r="BY101" s="892">
        <f t="shared" si="33"/>
        <v>216550</v>
      </c>
      <c r="BZ101" s="892"/>
      <c r="CA101" s="892"/>
      <c r="CF101" s="1166"/>
      <c r="CG101" s="1166"/>
      <c r="CH101" s="1166"/>
      <c r="CI101" s="1166"/>
      <c r="CJ101" s="1166"/>
      <c r="CK101" s="1166"/>
      <c r="CL101" s="1166"/>
      <c r="CM101" s="1166"/>
      <c r="CN101" s="1166"/>
      <c r="CO101" s="1166"/>
      <c r="CP101" s="1166"/>
      <c r="CQ101" s="1166"/>
      <c r="CR101" s="1166"/>
      <c r="CS101" s="1166"/>
      <c r="CT101" s="1166"/>
      <c r="CU101" s="1166"/>
      <c r="CV101" s="1166"/>
      <c r="CW101" s="1166"/>
      <c r="CX101" s="1166"/>
      <c r="CY101" s="1166"/>
      <c r="CZ101" s="1166"/>
      <c r="DA101" s="1166"/>
    </row>
    <row r="102" s="803" customFormat="1" ht="31" hidden="1" customHeight="1" spans="1:105">
      <c r="A102" s="1144">
        <v>45930</v>
      </c>
      <c r="B102" s="874" t="s">
        <v>594</v>
      </c>
      <c r="C102" s="1148" t="s">
        <v>70</v>
      </c>
      <c r="D102" s="874">
        <v>4500181162</v>
      </c>
      <c r="E102" s="838" t="s">
        <v>595</v>
      </c>
      <c r="F102" s="1147" t="s">
        <v>596</v>
      </c>
      <c r="G102" s="1145" t="s">
        <v>375</v>
      </c>
      <c r="H102" s="1106" t="s">
        <v>376</v>
      </c>
      <c r="I102" s="921">
        <v>588</v>
      </c>
      <c r="J102" s="921">
        <v>0</v>
      </c>
      <c r="K102" s="921">
        <v>12</v>
      </c>
      <c r="L102" s="1151">
        <f t="shared" si="29"/>
        <v>49</v>
      </c>
      <c r="M102" s="848">
        <v>45989</v>
      </c>
      <c r="N102" s="848">
        <v>45985</v>
      </c>
      <c r="O102" s="838"/>
      <c r="P102" s="1152" t="s">
        <v>46</v>
      </c>
      <c r="Q102" s="838"/>
      <c r="R102" s="862" t="s">
        <v>538</v>
      </c>
      <c r="S102" s="862" t="s">
        <v>48</v>
      </c>
      <c r="T102" s="862" t="s">
        <v>597</v>
      </c>
      <c r="U102" s="953" t="s">
        <v>598</v>
      </c>
      <c r="V102" s="1154" t="s">
        <v>541</v>
      </c>
      <c r="W102" s="1155">
        <v>4.82</v>
      </c>
      <c r="X102" s="1156">
        <f>W102*I102</f>
        <v>2834.16</v>
      </c>
      <c r="Y102" s="838" t="s">
        <v>599</v>
      </c>
      <c r="Z102" s="838" t="s">
        <v>375</v>
      </c>
      <c r="AA102" s="921" t="s">
        <v>53</v>
      </c>
      <c r="AB102" s="921" t="s">
        <v>54</v>
      </c>
      <c r="AC102" s="838"/>
      <c r="AD102" s="1159">
        <v>588</v>
      </c>
      <c r="AE102" s="1159">
        <f t="shared" si="30"/>
        <v>0</v>
      </c>
      <c r="AF102" s="1160"/>
      <c r="AG102" s="838" t="s">
        <v>55</v>
      </c>
      <c r="AH102" s="838"/>
      <c r="AI102" s="838">
        <f>I102*2</f>
        <v>1176</v>
      </c>
      <c r="AJ102" s="921"/>
      <c r="AK102" s="970">
        <f>I102*2</f>
        <v>1176</v>
      </c>
      <c r="AL102" s="970"/>
      <c r="AM102" s="803">
        <f>I102*2</f>
        <v>1176</v>
      </c>
      <c r="BC102" s="1146"/>
      <c r="BD102" s="1146"/>
      <c r="BE102" s="1146"/>
      <c r="BF102" s="1146"/>
      <c r="BG102" s="1146"/>
      <c r="BH102" s="803">
        <f>I102</f>
        <v>588</v>
      </c>
      <c r="BI102" s="803">
        <f>I102</f>
        <v>588</v>
      </c>
      <c r="BJ102" s="803">
        <f>I102</f>
        <v>588</v>
      </c>
      <c r="BL102" s="892"/>
      <c r="BM102" s="892"/>
      <c r="BN102" s="892"/>
      <c r="BO102" s="892"/>
      <c r="BP102" s="892"/>
      <c r="BQ102" s="892"/>
      <c r="BT102" s="805">
        <f t="shared" si="34"/>
        <v>0</v>
      </c>
      <c r="BU102" s="805">
        <f t="shared" si="35"/>
        <v>0</v>
      </c>
      <c r="BV102" s="291">
        <f t="shared" si="23"/>
        <v>644626</v>
      </c>
      <c r="BW102" s="892"/>
      <c r="BX102" s="892"/>
      <c r="BY102" s="892">
        <f t="shared" si="33"/>
        <v>215374</v>
      </c>
      <c r="BZ102" s="892"/>
      <c r="CA102" s="892"/>
      <c r="CF102" s="1166"/>
      <c r="CG102" s="1166"/>
      <c r="CH102" s="1166"/>
      <c r="CI102" s="1166"/>
      <c r="CJ102" s="1166"/>
      <c r="CK102" s="1166"/>
      <c r="CL102" s="1166"/>
      <c r="CM102" s="1166"/>
      <c r="CN102" s="1166"/>
      <c r="CO102" s="1166"/>
      <c r="CP102" s="1166"/>
      <c r="CQ102" s="1166"/>
      <c r="CR102" s="1166"/>
      <c r="CS102" s="1166"/>
      <c r="CT102" s="1166"/>
      <c r="CU102" s="1166"/>
      <c r="CV102" s="1166"/>
      <c r="CW102" s="1166"/>
      <c r="CX102" s="1166"/>
      <c r="CY102" s="1166"/>
      <c r="CZ102" s="1166"/>
      <c r="DA102" s="1166"/>
    </row>
    <row r="103" s="803" customFormat="1" ht="31" hidden="1" customHeight="1" spans="1:105">
      <c r="A103" s="1144">
        <v>45930</v>
      </c>
      <c r="B103" s="874" t="s">
        <v>594</v>
      </c>
      <c r="C103" s="1148" t="s">
        <v>600</v>
      </c>
      <c r="D103" s="874">
        <v>4500181162</v>
      </c>
      <c r="E103" s="838" t="s">
        <v>601</v>
      </c>
      <c r="F103" s="1147" t="s">
        <v>602</v>
      </c>
      <c r="G103" s="1145" t="s">
        <v>375</v>
      </c>
      <c r="H103" s="1106" t="s">
        <v>376</v>
      </c>
      <c r="I103" s="921">
        <v>504</v>
      </c>
      <c r="J103" s="921">
        <v>0</v>
      </c>
      <c r="K103" s="921">
        <v>12</v>
      </c>
      <c r="L103" s="1151">
        <f t="shared" si="29"/>
        <v>42</v>
      </c>
      <c r="M103" s="848">
        <v>45989</v>
      </c>
      <c r="N103" s="848">
        <v>45985</v>
      </c>
      <c r="O103" s="838"/>
      <c r="P103" s="1152" t="s">
        <v>46</v>
      </c>
      <c r="Q103" s="838"/>
      <c r="R103" s="862" t="s">
        <v>538</v>
      </c>
      <c r="S103" s="862" t="s">
        <v>48</v>
      </c>
      <c r="T103" s="862" t="s">
        <v>597</v>
      </c>
      <c r="U103" s="953" t="s">
        <v>598</v>
      </c>
      <c r="V103" s="1154" t="s">
        <v>541</v>
      </c>
      <c r="W103" s="1155">
        <v>4.82</v>
      </c>
      <c r="X103" s="1156">
        <f>W103*I103</f>
        <v>2429.28</v>
      </c>
      <c r="Y103" s="838" t="s">
        <v>599</v>
      </c>
      <c r="Z103" s="838" t="s">
        <v>375</v>
      </c>
      <c r="AA103" s="921" t="s">
        <v>53</v>
      </c>
      <c r="AB103" s="921" t="s">
        <v>54</v>
      </c>
      <c r="AC103" s="838"/>
      <c r="AD103" s="1159">
        <v>504</v>
      </c>
      <c r="AE103" s="1159">
        <f t="shared" si="30"/>
        <v>0</v>
      </c>
      <c r="AF103" s="1160"/>
      <c r="AG103" s="838" t="s">
        <v>55</v>
      </c>
      <c r="AH103" s="838"/>
      <c r="AI103" s="838">
        <f>I103*2</f>
        <v>1008</v>
      </c>
      <c r="AJ103" s="921"/>
      <c r="AK103" s="970">
        <f>I103*2</f>
        <v>1008</v>
      </c>
      <c r="AL103" s="970"/>
      <c r="AM103" s="803">
        <f>I103*2</f>
        <v>1008</v>
      </c>
      <c r="BC103" s="1146"/>
      <c r="BD103" s="1146"/>
      <c r="BE103" s="1146"/>
      <c r="BF103" s="1146"/>
      <c r="BG103" s="1146"/>
      <c r="BH103" s="803">
        <f>I103</f>
        <v>504</v>
      </c>
      <c r="BI103" s="803">
        <f>I103</f>
        <v>504</v>
      </c>
      <c r="BJ103" s="803">
        <f>I103</f>
        <v>504</v>
      </c>
      <c r="BL103" s="892"/>
      <c r="BM103" s="892"/>
      <c r="BN103" s="892"/>
      <c r="BO103" s="892"/>
      <c r="BP103" s="892"/>
      <c r="BQ103" s="892"/>
      <c r="BT103" s="805">
        <f t="shared" si="34"/>
        <v>0</v>
      </c>
      <c r="BU103" s="805">
        <f t="shared" si="35"/>
        <v>0</v>
      </c>
      <c r="BV103" s="291">
        <f t="shared" si="23"/>
        <v>645634</v>
      </c>
      <c r="BW103" s="892"/>
      <c r="BX103" s="892"/>
      <c r="BY103" s="892">
        <f t="shared" si="33"/>
        <v>214366</v>
      </c>
      <c r="BZ103" s="892"/>
      <c r="CA103" s="892"/>
      <c r="CF103" s="1166"/>
      <c r="CG103" s="1166"/>
      <c r="CH103" s="1166"/>
      <c r="CI103" s="1166"/>
      <c r="CJ103" s="1166"/>
      <c r="CK103" s="1166"/>
      <c r="CL103" s="1166"/>
      <c r="CM103" s="1166"/>
      <c r="CN103" s="1166"/>
      <c r="CO103" s="1166"/>
      <c r="CP103" s="1166"/>
      <c r="CQ103" s="1166"/>
      <c r="CR103" s="1166"/>
      <c r="CS103" s="1166"/>
      <c r="CT103" s="1166"/>
      <c r="CU103" s="1166"/>
      <c r="CV103" s="1166"/>
      <c r="CW103" s="1166"/>
      <c r="CX103" s="1166"/>
      <c r="CY103" s="1166"/>
      <c r="CZ103" s="1166"/>
      <c r="DA103" s="1166"/>
    </row>
    <row r="104" s="803" customFormat="1" ht="31" hidden="1" customHeight="1" spans="1:105">
      <c r="A104" s="1144">
        <v>45965</v>
      </c>
      <c r="B104" s="874" t="s">
        <v>603</v>
      </c>
      <c r="C104" s="1146" t="s">
        <v>158</v>
      </c>
      <c r="D104" s="874">
        <v>4500184328</v>
      </c>
      <c r="E104" s="838"/>
      <c r="F104" s="874" t="s">
        <v>604</v>
      </c>
      <c r="G104" s="1145" t="s">
        <v>136</v>
      </c>
      <c r="H104" s="921" t="s">
        <v>137</v>
      </c>
      <c r="I104" s="921">
        <v>3150</v>
      </c>
      <c r="J104" s="921">
        <v>0</v>
      </c>
      <c r="K104" s="921">
        <v>50</v>
      </c>
      <c r="L104" s="1151">
        <f t="shared" si="29"/>
        <v>63</v>
      </c>
      <c r="M104" s="939">
        <v>45999</v>
      </c>
      <c r="N104" s="939">
        <v>45995</v>
      </c>
      <c r="O104" s="838"/>
      <c r="P104" s="1152" t="s">
        <v>46</v>
      </c>
      <c r="Q104" s="838"/>
      <c r="R104" s="862">
        <v>45967</v>
      </c>
      <c r="S104" s="862" t="s">
        <v>58</v>
      </c>
      <c r="T104" s="862" t="s">
        <v>58</v>
      </c>
      <c r="U104" s="953" t="s">
        <v>605</v>
      </c>
      <c r="V104" s="1154" t="s">
        <v>606</v>
      </c>
      <c r="W104" s="1155">
        <v>1.9266</v>
      </c>
      <c r="X104" s="1156">
        <f>W104*I104</f>
        <v>6068.79</v>
      </c>
      <c r="Y104" s="838" t="s">
        <v>607</v>
      </c>
      <c r="Z104" s="838" t="s">
        <v>136</v>
      </c>
      <c r="AA104" s="921" t="s">
        <v>53</v>
      </c>
      <c r="AB104" s="921" t="s">
        <v>54</v>
      </c>
      <c r="AC104" s="838"/>
      <c r="AD104" s="1159">
        <v>3150</v>
      </c>
      <c r="AE104" s="1159">
        <f t="shared" si="30"/>
        <v>0</v>
      </c>
      <c r="AF104" s="1160"/>
      <c r="AG104" s="838" t="s">
        <v>58</v>
      </c>
      <c r="AH104" s="838"/>
      <c r="AI104" s="830">
        <f t="shared" ref="AI104:AI118" si="36">I104</f>
        <v>3150</v>
      </c>
      <c r="AJ104" s="970">
        <f>I104</f>
        <v>3150</v>
      </c>
      <c r="AM104" s="970">
        <f>I104</f>
        <v>3150</v>
      </c>
      <c r="AO104" s="970"/>
      <c r="AR104" s="803">
        <f>L104*2</f>
        <v>126</v>
      </c>
      <c r="AS104" s="838"/>
      <c r="BC104" s="1146"/>
      <c r="BD104" s="1146"/>
      <c r="BE104" s="1146"/>
      <c r="BF104" s="1146"/>
      <c r="BG104" s="1146"/>
      <c r="BL104" s="892"/>
      <c r="BM104" s="892"/>
      <c r="BN104" s="892"/>
      <c r="BO104" s="892"/>
      <c r="BP104" s="892"/>
      <c r="BQ104" s="892"/>
      <c r="BT104" s="805">
        <f t="shared" si="34"/>
        <v>126</v>
      </c>
      <c r="BU104" s="805">
        <f t="shared" si="35"/>
        <v>0</v>
      </c>
      <c r="BV104" s="291">
        <f t="shared" si="23"/>
        <v>648784</v>
      </c>
      <c r="BW104" s="892"/>
      <c r="BX104" s="892"/>
      <c r="BY104" s="892">
        <f t="shared" si="33"/>
        <v>211216</v>
      </c>
      <c r="BZ104" s="892"/>
      <c r="CA104" s="892"/>
      <c r="CF104" s="1166"/>
      <c r="CG104" s="1166"/>
      <c r="CH104" s="1166"/>
      <c r="CI104" s="1166"/>
      <c r="CJ104" s="1166"/>
      <c r="CK104" s="1166"/>
      <c r="CL104" s="1166"/>
      <c r="CM104" s="1166"/>
      <c r="CN104" s="1166"/>
      <c r="CO104" s="1166"/>
      <c r="CP104" s="1166"/>
      <c r="CQ104" s="1166"/>
      <c r="CR104" s="1166"/>
      <c r="CS104" s="1166"/>
      <c r="CT104" s="1166"/>
      <c r="CU104" s="1166"/>
      <c r="CV104" s="1166"/>
      <c r="CW104" s="1166"/>
      <c r="CX104" s="1166"/>
      <c r="CY104" s="1166"/>
      <c r="CZ104" s="1166"/>
      <c r="DA104" s="1166"/>
    </row>
    <row r="105" s="803" customFormat="1" ht="31" hidden="1" customHeight="1" spans="1:105">
      <c r="A105" s="1144">
        <v>45965</v>
      </c>
      <c r="B105" s="874" t="s">
        <v>603</v>
      </c>
      <c r="C105" s="1146" t="s">
        <v>158</v>
      </c>
      <c r="D105" s="874">
        <v>4500184328</v>
      </c>
      <c r="E105" s="838"/>
      <c r="F105" s="874" t="s">
        <v>608</v>
      </c>
      <c r="G105" s="1145" t="s">
        <v>136</v>
      </c>
      <c r="H105" s="921" t="s">
        <v>137</v>
      </c>
      <c r="I105" s="921">
        <v>1850</v>
      </c>
      <c r="J105" s="921">
        <v>0</v>
      </c>
      <c r="K105" s="921">
        <v>50</v>
      </c>
      <c r="L105" s="1151">
        <f t="shared" si="29"/>
        <v>37</v>
      </c>
      <c r="M105" s="848">
        <v>45989</v>
      </c>
      <c r="N105" s="848">
        <v>45985</v>
      </c>
      <c r="O105" s="838"/>
      <c r="P105" s="1152" t="s">
        <v>46</v>
      </c>
      <c r="Q105" s="838"/>
      <c r="R105" s="862">
        <v>45967</v>
      </c>
      <c r="S105" s="862" t="s">
        <v>58</v>
      </c>
      <c r="T105" s="862" t="s">
        <v>58</v>
      </c>
      <c r="U105" s="953" t="s">
        <v>605</v>
      </c>
      <c r="V105" s="1154" t="s">
        <v>606</v>
      </c>
      <c r="W105" s="1155">
        <v>1.9324</v>
      </c>
      <c r="X105" s="1156">
        <f>W105*I105</f>
        <v>3574.94</v>
      </c>
      <c r="Y105" s="838" t="s">
        <v>607</v>
      </c>
      <c r="Z105" s="838" t="s">
        <v>136</v>
      </c>
      <c r="AA105" s="921" t="s">
        <v>53</v>
      </c>
      <c r="AB105" s="921" t="s">
        <v>54</v>
      </c>
      <c r="AC105" s="838"/>
      <c r="AD105" s="1159">
        <v>1850</v>
      </c>
      <c r="AE105" s="1159">
        <f t="shared" si="30"/>
        <v>0</v>
      </c>
      <c r="AF105" s="1160"/>
      <c r="AG105" s="838" t="s">
        <v>58</v>
      </c>
      <c r="AH105" s="838"/>
      <c r="AI105" s="830">
        <f t="shared" si="36"/>
        <v>1850</v>
      </c>
      <c r="AJ105" s="970">
        <f>I105</f>
        <v>1850</v>
      </c>
      <c r="AM105" s="970">
        <f>I105</f>
        <v>1850</v>
      </c>
      <c r="AO105" s="970"/>
      <c r="AR105" s="803">
        <f>L105*2</f>
        <v>74</v>
      </c>
      <c r="AS105" s="838"/>
      <c r="BC105" s="1146"/>
      <c r="BD105" s="1146"/>
      <c r="BE105" s="1146"/>
      <c r="BF105" s="1146"/>
      <c r="BG105" s="1146"/>
      <c r="BL105" s="892"/>
      <c r="BM105" s="892"/>
      <c r="BN105" s="892"/>
      <c r="BO105" s="892"/>
      <c r="BP105" s="892"/>
      <c r="BQ105" s="892"/>
      <c r="BT105" s="805">
        <f t="shared" si="34"/>
        <v>74</v>
      </c>
      <c r="BU105" s="805">
        <f t="shared" si="35"/>
        <v>0</v>
      </c>
      <c r="BV105" s="291">
        <f t="shared" si="23"/>
        <v>650634</v>
      </c>
      <c r="BW105" s="892"/>
      <c r="BX105" s="892"/>
      <c r="BY105" s="892">
        <f t="shared" si="33"/>
        <v>209366</v>
      </c>
      <c r="BZ105" s="892"/>
      <c r="CA105" s="892"/>
      <c r="CF105" s="1166"/>
      <c r="CG105" s="1166"/>
      <c r="CH105" s="1166"/>
      <c r="CI105" s="1166"/>
      <c r="CJ105" s="1166"/>
      <c r="CK105" s="1166"/>
      <c r="CL105" s="1166"/>
      <c r="CM105" s="1166"/>
      <c r="CN105" s="1166"/>
      <c r="CO105" s="1166"/>
      <c r="CP105" s="1166"/>
      <c r="CQ105" s="1166"/>
      <c r="CR105" s="1166"/>
      <c r="CS105" s="1166"/>
      <c r="CT105" s="1166"/>
      <c r="CU105" s="1166"/>
      <c r="CV105" s="1166"/>
      <c r="CW105" s="1166"/>
      <c r="CX105" s="1166"/>
      <c r="CY105" s="1166"/>
      <c r="CZ105" s="1166"/>
      <c r="DA105" s="1166"/>
    </row>
    <row r="106" s="803" customFormat="1" ht="31" hidden="1" customHeight="1" spans="1:105">
      <c r="A106" s="1144">
        <v>45953</v>
      </c>
      <c r="B106" s="874" t="s">
        <v>609</v>
      </c>
      <c r="C106" s="1148" t="s">
        <v>610</v>
      </c>
      <c r="D106" s="874">
        <v>4500181881</v>
      </c>
      <c r="E106" s="838"/>
      <c r="F106" s="874" t="s">
        <v>611</v>
      </c>
      <c r="G106" s="1145" t="s">
        <v>142</v>
      </c>
      <c r="H106" s="921" t="s">
        <v>137</v>
      </c>
      <c r="I106" s="921">
        <v>408</v>
      </c>
      <c r="J106" s="921">
        <v>0</v>
      </c>
      <c r="K106" s="921">
        <v>24</v>
      </c>
      <c r="L106" s="1151">
        <f t="shared" si="29"/>
        <v>17</v>
      </c>
      <c r="M106" s="848">
        <v>45991</v>
      </c>
      <c r="N106" s="848">
        <v>45987</v>
      </c>
      <c r="O106" s="838"/>
      <c r="P106" s="1152" t="s">
        <v>46</v>
      </c>
      <c r="Q106" s="838"/>
      <c r="R106" s="862">
        <v>45950</v>
      </c>
      <c r="S106" s="862" t="s">
        <v>58</v>
      </c>
      <c r="T106" s="862" t="s">
        <v>612</v>
      </c>
      <c r="U106" s="954" t="s">
        <v>613</v>
      </c>
      <c r="V106" s="1154" t="s">
        <v>95</v>
      </c>
      <c r="W106" s="1155">
        <v>1.7964</v>
      </c>
      <c r="X106" s="1156">
        <f>W106*I106</f>
        <v>732.9312</v>
      </c>
      <c r="Y106" s="1163" t="s">
        <v>614</v>
      </c>
      <c r="Z106" s="1145" t="s">
        <v>142</v>
      </c>
      <c r="AA106" s="921" t="s">
        <v>53</v>
      </c>
      <c r="AB106" s="921" t="s">
        <v>54</v>
      </c>
      <c r="AC106" s="838"/>
      <c r="AD106" s="1159">
        <v>408</v>
      </c>
      <c r="AE106" s="1159">
        <f t="shared" si="30"/>
        <v>0</v>
      </c>
      <c r="AF106" s="1160"/>
      <c r="AG106" s="838" t="s">
        <v>55</v>
      </c>
      <c r="AH106" s="838"/>
      <c r="AI106" s="830">
        <f t="shared" si="36"/>
        <v>408</v>
      </c>
      <c r="AJ106" s="970">
        <f>I106</f>
        <v>408</v>
      </c>
      <c r="AL106" s="970"/>
      <c r="AM106" s="803">
        <f>I106</f>
        <v>408</v>
      </c>
      <c r="BC106" s="1146"/>
      <c r="BD106" s="1146"/>
      <c r="BE106" s="1146"/>
      <c r="BF106" s="1146"/>
      <c r="BG106" s="1146"/>
      <c r="BL106" s="892"/>
      <c r="BM106" s="892"/>
      <c r="BN106" s="892"/>
      <c r="BO106" s="892"/>
      <c r="BP106" s="892"/>
      <c r="BQ106" s="892"/>
      <c r="BT106" s="805">
        <f t="shared" si="34"/>
        <v>0</v>
      </c>
      <c r="BU106" s="805">
        <f t="shared" si="35"/>
        <v>0</v>
      </c>
      <c r="BV106" s="291">
        <f t="shared" si="23"/>
        <v>651042</v>
      </c>
      <c r="BW106" s="892"/>
      <c r="BX106" s="892"/>
      <c r="BY106" s="892">
        <f t="shared" si="33"/>
        <v>208958</v>
      </c>
      <c r="BZ106" s="892"/>
      <c r="CA106" s="892"/>
      <c r="CF106" s="1166"/>
      <c r="CG106" s="1166"/>
      <c r="CH106" s="1166"/>
      <c r="CI106" s="1166"/>
      <c r="CJ106" s="1166"/>
      <c r="CK106" s="1166"/>
      <c r="CL106" s="1166"/>
      <c r="CM106" s="1166"/>
      <c r="CN106" s="1166"/>
      <c r="CO106" s="1166"/>
      <c r="CP106" s="1166"/>
      <c r="CQ106" s="1166"/>
      <c r="CR106" s="1166"/>
      <c r="CS106" s="1166"/>
      <c r="CT106" s="1166"/>
      <c r="CU106" s="1166"/>
      <c r="CV106" s="1166"/>
      <c r="CW106" s="1166"/>
      <c r="CX106" s="1166"/>
      <c r="CY106" s="1166"/>
      <c r="CZ106" s="1166"/>
      <c r="DA106" s="1166"/>
    </row>
    <row r="107" s="803" customFormat="1" ht="31" hidden="1" customHeight="1" spans="1:105">
      <c r="A107" s="1144">
        <v>45904</v>
      </c>
      <c r="B107" s="874" t="s">
        <v>565</v>
      </c>
      <c r="C107" s="1146" t="s">
        <v>566</v>
      </c>
      <c r="D107" s="874">
        <v>4500178715</v>
      </c>
      <c r="E107" s="838" t="s">
        <v>615</v>
      </c>
      <c r="F107" s="953" t="s">
        <v>616</v>
      </c>
      <c r="G107" s="1145" t="s">
        <v>151</v>
      </c>
      <c r="H107" s="921" t="s">
        <v>152</v>
      </c>
      <c r="I107" s="921">
        <v>3250</v>
      </c>
      <c r="J107" s="921">
        <v>0</v>
      </c>
      <c r="K107" s="921">
        <v>13</v>
      </c>
      <c r="L107" s="1151">
        <f t="shared" si="29"/>
        <v>250</v>
      </c>
      <c r="M107" s="848">
        <v>45992</v>
      </c>
      <c r="N107" s="848">
        <f>M107-4</f>
        <v>45988</v>
      </c>
      <c r="O107" s="838"/>
      <c r="P107" s="1152" t="s">
        <v>46</v>
      </c>
      <c r="Q107" s="838"/>
      <c r="R107" s="862">
        <v>45941</v>
      </c>
      <c r="S107" s="862" t="s">
        <v>58</v>
      </c>
      <c r="T107" s="862" t="s">
        <v>569</v>
      </c>
      <c r="U107" s="953" t="s">
        <v>617</v>
      </c>
      <c r="V107" s="1154" t="s">
        <v>478</v>
      </c>
      <c r="W107" s="1155">
        <v>2.39</v>
      </c>
      <c r="X107" s="1156">
        <f>I107*W107</f>
        <v>7767.5</v>
      </c>
      <c r="Y107" s="838" t="s">
        <v>618</v>
      </c>
      <c r="Z107" s="1145" t="s">
        <v>480</v>
      </c>
      <c r="AA107" s="921" t="s">
        <v>53</v>
      </c>
      <c r="AB107" s="921" t="s">
        <v>54</v>
      </c>
      <c r="AC107" s="838"/>
      <c r="AD107" s="1159">
        <v>3250</v>
      </c>
      <c r="AE107" s="1159">
        <f t="shared" si="30"/>
        <v>0</v>
      </c>
      <c r="AF107" s="1160"/>
      <c r="AG107" s="838" t="s">
        <v>55</v>
      </c>
      <c r="AH107" s="838"/>
      <c r="AI107" s="830">
        <f t="shared" si="36"/>
        <v>3250</v>
      </c>
      <c r="AJ107" s="970"/>
      <c r="AL107" s="970">
        <f>I107</f>
        <v>3250</v>
      </c>
      <c r="AM107" s="803">
        <f t="shared" ref="AM107:AM114" si="37">I107</f>
        <v>3250</v>
      </c>
      <c r="AQ107" s="803">
        <f>I107/13</f>
        <v>250</v>
      </c>
      <c r="BC107" s="1146"/>
      <c r="BD107" s="1146"/>
      <c r="BE107" s="1146"/>
      <c r="BF107" s="1146"/>
      <c r="BG107" s="1146"/>
      <c r="BL107" s="892"/>
      <c r="BM107" s="892"/>
      <c r="BN107" s="892"/>
      <c r="BO107" s="892"/>
      <c r="BP107" s="892"/>
      <c r="BQ107" s="892"/>
      <c r="BT107" s="805">
        <f t="shared" si="34"/>
        <v>0</v>
      </c>
      <c r="BU107" s="805">
        <f t="shared" si="35"/>
        <v>0</v>
      </c>
      <c r="BV107" s="291">
        <f t="shared" si="23"/>
        <v>654292</v>
      </c>
      <c r="BW107" s="892"/>
      <c r="BX107" s="892"/>
      <c r="BY107" s="892">
        <f t="shared" si="33"/>
        <v>205708</v>
      </c>
      <c r="BZ107" s="1168"/>
      <c r="CA107" s="892"/>
      <c r="CF107" s="1166"/>
      <c r="CG107" s="1166"/>
      <c r="CH107" s="1166"/>
      <c r="CI107" s="1166"/>
      <c r="CJ107" s="1166"/>
      <c r="CK107" s="1166"/>
      <c r="CL107" s="1166"/>
      <c r="CM107" s="1166"/>
      <c r="CN107" s="1166"/>
      <c r="CO107" s="1166"/>
      <c r="CP107" s="1166"/>
      <c r="CQ107" s="1166"/>
      <c r="CR107" s="1166"/>
      <c r="CS107" s="1166"/>
      <c r="CT107" s="1166"/>
      <c r="CU107" s="1166"/>
      <c r="CV107" s="1166"/>
      <c r="CW107" s="1166"/>
      <c r="CX107" s="1166"/>
      <c r="CY107" s="1166"/>
      <c r="CZ107" s="1166"/>
      <c r="DA107" s="1166"/>
    </row>
    <row r="108" s="803" customFormat="1" ht="31" hidden="1" customHeight="1" spans="1:105">
      <c r="A108" s="1144">
        <v>45943</v>
      </c>
      <c r="B108" s="874" t="s">
        <v>619</v>
      </c>
      <c r="C108" s="1146" t="s">
        <v>566</v>
      </c>
      <c r="D108" s="874">
        <v>4500176686</v>
      </c>
      <c r="E108" s="838">
        <v>300581433</v>
      </c>
      <c r="F108" s="953" t="s">
        <v>620</v>
      </c>
      <c r="G108" s="1145" t="s">
        <v>621</v>
      </c>
      <c r="H108" s="921" t="s">
        <v>622</v>
      </c>
      <c r="I108" s="921">
        <v>611</v>
      </c>
      <c r="J108" s="921">
        <v>0</v>
      </c>
      <c r="K108" s="921">
        <v>13</v>
      </c>
      <c r="L108" s="1151">
        <f t="shared" si="29"/>
        <v>47</v>
      </c>
      <c r="M108" s="848">
        <v>45993</v>
      </c>
      <c r="N108" s="848">
        <v>45989</v>
      </c>
      <c r="O108" s="838"/>
      <c r="P108" s="1152" t="s">
        <v>46</v>
      </c>
      <c r="Q108" s="838"/>
      <c r="R108" s="862">
        <v>45946</v>
      </c>
      <c r="S108" s="862" t="s">
        <v>58</v>
      </c>
      <c r="T108" s="862" t="s">
        <v>623</v>
      </c>
      <c r="U108" s="953" t="s">
        <v>624</v>
      </c>
      <c r="V108" s="1154" t="s">
        <v>589</v>
      </c>
      <c r="W108" s="1155">
        <v>2.33</v>
      </c>
      <c r="X108" s="1156">
        <f>I108*W108</f>
        <v>1423.63</v>
      </c>
      <c r="Y108" s="838" t="s">
        <v>625</v>
      </c>
      <c r="Z108" s="1145" t="s">
        <v>621</v>
      </c>
      <c r="AA108" s="921" t="s">
        <v>53</v>
      </c>
      <c r="AB108" s="921" t="s">
        <v>54</v>
      </c>
      <c r="AC108" s="838"/>
      <c r="AD108" s="1159">
        <v>611</v>
      </c>
      <c r="AE108" s="1159">
        <f t="shared" si="30"/>
        <v>0</v>
      </c>
      <c r="AF108" s="1160"/>
      <c r="AG108" s="838" t="s">
        <v>55</v>
      </c>
      <c r="AH108" s="838"/>
      <c r="AI108" s="830">
        <f t="shared" si="36"/>
        <v>611</v>
      </c>
      <c r="AJ108" s="970"/>
      <c r="AL108" s="970">
        <f>I108</f>
        <v>611</v>
      </c>
      <c r="AM108" s="803">
        <f t="shared" si="37"/>
        <v>611</v>
      </c>
      <c r="BC108" s="1146"/>
      <c r="BD108" s="1146"/>
      <c r="BE108" s="1146"/>
      <c r="BF108" s="1146"/>
      <c r="BG108" s="1146"/>
      <c r="BL108" s="892"/>
      <c r="BM108" s="892"/>
      <c r="BN108" s="892"/>
      <c r="BO108" s="892"/>
      <c r="BP108" s="892"/>
      <c r="BQ108" s="892"/>
      <c r="BT108" s="805">
        <f t="shared" si="34"/>
        <v>0</v>
      </c>
      <c r="BU108" s="805">
        <f t="shared" si="35"/>
        <v>0</v>
      </c>
      <c r="BV108" s="291">
        <f t="shared" si="23"/>
        <v>654903</v>
      </c>
      <c r="BW108" s="892"/>
      <c r="BX108" s="892"/>
      <c r="BY108" s="892">
        <f t="shared" si="33"/>
        <v>205097</v>
      </c>
      <c r="BZ108" s="892"/>
      <c r="CA108" s="892"/>
      <c r="CF108" s="1166"/>
      <c r="CG108" s="1166"/>
      <c r="CH108" s="1166"/>
      <c r="CI108" s="1166"/>
      <c r="CJ108" s="1166"/>
      <c r="CK108" s="1166"/>
      <c r="CL108" s="1166"/>
      <c r="CM108" s="1166"/>
      <c r="CN108" s="1166"/>
      <c r="CO108" s="1166"/>
      <c r="CP108" s="1166"/>
      <c r="CQ108" s="1166"/>
      <c r="CR108" s="1166"/>
      <c r="CS108" s="1166"/>
      <c r="CT108" s="1166"/>
      <c r="CU108" s="1166"/>
      <c r="CV108" s="1166"/>
      <c r="CW108" s="1166"/>
      <c r="CX108" s="1166"/>
      <c r="CY108" s="1166"/>
      <c r="CZ108" s="1166"/>
      <c r="DA108" s="1166"/>
    </row>
    <row r="109" s="803" customFormat="1" ht="31" hidden="1" customHeight="1" spans="1:105">
      <c r="A109" s="1144">
        <v>45961</v>
      </c>
      <c r="B109" s="874" t="s">
        <v>199</v>
      </c>
      <c r="C109" s="1146" t="s">
        <v>84</v>
      </c>
      <c r="D109" s="874">
        <v>4500183832</v>
      </c>
      <c r="E109" s="1296" t="s">
        <v>626</v>
      </c>
      <c r="F109" s="874" t="s">
        <v>627</v>
      </c>
      <c r="G109" s="1145" t="s">
        <v>202</v>
      </c>
      <c r="H109" s="921" t="s">
        <v>203</v>
      </c>
      <c r="I109" s="921">
        <v>960</v>
      </c>
      <c r="J109" s="921">
        <v>0</v>
      </c>
      <c r="K109" s="921">
        <v>16</v>
      </c>
      <c r="L109" s="1151">
        <f t="shared" si="29"/>
        <v>60</v>
      </c>
      <c r="M109" s="848">
        <v>45993</v>
      </c>
      <c r="N109" s="848">
        <v>45989</v>
      </c>
      <c r="O109" s="838"/>
      <c r="P109" s="1152" t="s">
        <v>46</v>
      </c>
      <c r="Q109" s="838"/>
      <c r="R109" s="862" t="s">
        <v>251</v>
      </c>
      <c r="S109" s="862" t="s">
        <v>58</v>
      </c>
      <c r="T109" s="862" t="s">
        <v>420</v>
      </c>
      <c r="U109" s="953" t="s">
        <v>252</v>
      </c>
      <c r="V109" s="1154" t="s">
        <v>207</v>
      </c>
      <c r="W109" s="1155">
        <v>1.2079</v>
      </c>
      <c r="X109" s="1156">
        <f>W109*I109</f>
        <v>1159.584</v>
      </c>
      <c r="Y109" s="838" t="s">
        <v>628</v>
      </c>
      <c r="Z109" s="1145" t="s">
        <v>202</v>
      </c>
      <c r="AA109" s="921" t="s">
        <v>53</v>
      </c>
      <c r="AB109" s="921" t="s">
        <v>54</v>
      </c>
      <c r="AC109" s="838"/>
      <c r="AD109" s="1159">
        <v>960</v>
      </c>
      <c r="AE109" s="1159">
        <f t="shared" si="30"/>
        <v>0</v>
      </c>
      <c r="AF109" s="1160"/>
      <c r="AG109" s="838" t="s">
        <v>55</v>
      </c>
      <c r="AH109" s="838"/>
      <c r="AI109" s="830">
        <f t="shared" si="36"/>
        <v>960</v>
      </c>
      <c r="AJ109" s="970">
        <f>I109</f>
        <v>960</v>
      </c>
      <c r="AL109" s="970"/>
      <c r="AM109" s="803">
        <f t="shared" si="37"/>
        <v>960</v>
      </c>
      <c r="AW109" s="803">
        <f>I109/16</f>
        <v>60</v>
      </c>
      <c r="BC109" s="1146"/>
      <c r="BD109" s="1146"/>
      <c r="BE109" s="1146"/>
      <c r="BF109" s="1146"/>
      <c r="BG109" s="1146"/>
      <c r="BL109" s="892"/>
      <c r="BM109" s="892"/>
      <c r="BN109" s="892"/>
      <c r="BO109" s="892"/>
      <c r="BP109" s="892"/>
      <c r="BQ109" s="892"/>
      <c r="BT109" s="805">
        <f t="shared" si="34"/>
        <v>60</v>
      </c>
      <c r="BU109" s="805">
        <f t="shared" si="35"/>
        <v>0</v>
      </c>
      <c r="BV109" s="291">
        <f t="shared" si="23"/>
        <v>655863</v>
      </c>
      <c r="BW109" s="892"/>
      <c r="BX109" s="892"/>
      <c r="BY109" s="892">
        <f t="shared" si="33"/>
        <v>204137</v>
      </c>
      <c r="BZ109" s="892"/>
      <c r="CA109" s="892"/>
      <c r="CF109" s="1166"/>
      <c r="CG109" s="1166"/>
      <c r="CH109" s="1166"/>
      <c r="CI109" s="1166"/>
      <c r="CJ109" s="1166"/>
      <c r="CK109" s="1166"/>
      <c r="CL109" s="1166"/>
      <c r="CM109" s="1166"/>
      <c r="CN109" s="1166"/>
      <c r="CO109" s="1166"/>
      <c r="CP109" s="1166"/>
      <c r="CQ109" s="1166"/>
      <c r="CR109" s="1166"/>
      <c r="CS109" s="1166"/>
      <c r="CT109" s="1166"/>
      <c r="CU109" s="1166"/>
      <c r="CV109" s="1166"/>
      <c r="CW109" s="1166"/>
      <c r="CX109" s="1166"/>
      <c r="CY109" s="1166"/>
      <c r="CZ109" s="1166"/>
      <c r="DA109" s="1166"/>
    </row>
    <row r="110" s="803" customFormat="1" ht="31" hidden="1" customHeight="1" spans="1:105">
      <c r="A110" s="1144">
        <v>45961</v>
      </c>
      <c r="B110" s="874" t="s">
        <v>199</v>
      </c>
      <c r="C110" s="1146" t="s">
        <v>84</v>
      </c>
      <c r="D110" s="874">
        <v>4500183832</v>
      </c>
      <c r="E110" s="1296" t="s">
        <v>629</v>
      </c>
      <c r="F110" s="874" t="s">
        <v>630</v>
      </c>
      <c r="G110" s="1145" t="s">
        <v>202</v>
      </c>
      <c r="H110" s="921" t="s">
        <v>203</v>
      </c>
      <c r="I110" s="921">
        <v>960</v>
      </c>
      <c r="J110" s="921">
        <v>0</v>
      </c>
      <c r="K110" s="921">
        <v>16</v>
      </c>
      <c r="L110" s="1151">
        <f t="shared" si="29"/>
        <v>60</v>
      </c>
      <c r="M110" s="848">
        <v>45993</v>
      </c>
      <c r="N110" s="848">
        <v>45989</v>
      </c>
      <c r="O110" s="838"/>
      <c r="P110" s="1152" t="s">
        <v>46</v>
      </c>
      <c r="Q110" s="838"/>
      <c r="R110" s="862" t="s">
        <v>251</v>
      </c>
      <c r="S110" s="862" t="s">
        <v>58</v>
      </c>
      <c r="T110" s="862" t="s">
        <v>420</v>
      </c>
      <c r="U110" s="953" t="s">
        <v>252</v>
      </c>
      <c r="V110" s="1154" t="s">
        <v>207</v>
      </c>
      <c r="W110" s="1155">
        <v>1.2079</v>
      </c>
      <c r="X110" s="1156">
        <f>W110*I110</f>
        <v>1159.584</v>
      </c>
      <c r="Y110" s="838" t="s">
        <v>631</v>
      </c>
      <c r="Z110" s="1145" t="s">
        <v>202</v>
      </c>
      <c r="AA110" s="921" t="s">
        <v>53</v>
      </c>
      <c r="AB110" s="921" t="s">
        <v>54</v>
      </c>
      <c r="AC110" s="838"/>
      <c r="AD110" s="1159">
        <v>960</v>
      </c>
      <c r="AE110" s="1159">
        <f t="shared" si="30"/>
        <v>0</v>
      </c>
      <c r="AF110" s="1160"/>
      <c r="AG110" s="838" t="s">
        <v>55</v>
      </c>
      <c r="AH110" s="838"/>
      <c r="AI110" s="830">
        <f t="shared" si="36"/>
        <v>960</v>
      </c>
      <c r="AJ110" s="970">
        <f>I110</f>
        <v>960</v>
      </c>
      <c r="AL110" s="970"/>
      <c r="AM110" s="803">
        <f t="shared" si="37"/>
        <v>960</v>
      </c>
      <c r="AW110" s="803">
        <f>I110/16</f>
        <v>60</v>
      </c>
      <c r="BC110" s="1146"/>
      <c r="BD110" s="1146"/>
      <c r="BE110" s="1146"/>
      <c r="BF110" s="1146"/>
      <c r="BG110" s="1146"/>
      <c r="BL110" s="892"/>
      <c r="BM110" s="892"/>
      <c r="BN110" s="892"/>
      <c r="BO110" s="892"/>
      <c r="BP110" s="892"/>
      <c r="BQ110" s="892"/>
      <c r="BT110" s="805">
        <f t="shared" si="34"/>
        <v>60</v>
      </c>
      <c r="BU110" s="805">
        <f t="shared" si="35"/>
        <v>0</v>
      </c>
      <c r="BV110" s="291">
        <f t="shared" si="23"/>
        <v>656823</v>
      </c>
      <c r="BW110" s="892"/>
      <c r="BX110" s="892"/>
      <c r="BY110" s="892">
        <f t="shared" si="33"/>
        <v>203177</v>
      </c>
      <c r="BZ110" s="892"/>
      <c r="CA110" s="892"/>
      <c r="CF110" s="1166"/>
      <c r="CG110" s="1166"/>
      <c r="CH110" s="1166"/>
      <c r="CI110" s="1166"/>
      <c r="CJ110" s="1166"/>
      <c r="CK110" s="1166"/>
      <c r="CL110" s="1166"/>
      <c r="CM110" s="1166"/>
      <c r="CN110" s="1166"/>
      <c r="CO110" s="1166"/>
      <c r="CP110" s="1166"/>
      <c r="CQ110" s="1166"/>
      <c r="CR110" s="1166"/>
      <c r="CS110" s="1166"/>
      <c r="CT110" s="1166"/>
      <c r="CU110" s="1166"/>
      <c r="CV110" s="1166"/>
      <c r="CW110" s="1166"/>
      <c r="CX110" s="1166"/>
      <c r="CY110" s="1166"/>
      <c r="CZ110" s="1166"/>
      <c r="DA110" s="1166"/>
    </row>
    <row r="111" s="803" customFormat="1" ht="31" hidden="1" customHeight="1" spans="1:105">
      <c r="A111" s="1144">
        <v>45961</v>
      </c>
      <c r="B111" s="874" t="s">
        <v>199</v>
      </c>
      <c r="C111" s="1146" t="s">
        <v>84</v>
      </c>
      <c r="D111" s="874">
        <v>4500183832</v>
      </c>
      <c r="E111" s="1296" t="s">
        <v>632</v>
      </c>
      <c r="F111" s="874" t="s">
        <v>633</v>
      </c>
      <c r="G111" s="1145" t="s">
        <v>202</v>
      </c>
      <c r="H111" s="921" t="s">
        <v>203</v>
      </c>
      <c r="I111" s="921">
        <v>960</v>
      </c>
      <c r="J111" s="921">
        <v>0</v>
      </c>
      <c r="K111" s="921">
        <v>16</v>
      </c>
      <c r="L111" s="1151">
        <f t="shared" si="29"/>
        <v>60</v>
      </c>
      <c r="M111" s="848">
        <v>45993</v>
      </c>
      <c r="N111" s="848">
        <v>45989</v>
      </c>
      <c r="O111" s="838" t="s">
        <v>634</v>
      </c>
      <c r="P111" s="1152" t="s">
        <v>46</v>
      </c>
      <c r="Q111" s="838"/>
      <c r="R111" s="862" t="s">
        <v>251</v>
      </c>
      <c r="S111" s="862" t="s">
        <v>58</v>
      </c>
      <c r="T111" s="862" t="s">
        <v>420</v>
      </c>
      <c r="U111" s="953" t="s">
        <v>252</v>
      </c>
      <c r="V111" s="1154" t="s">
        <v>207</v>
      </c>
      <c r="W111" s="1155">
        <v>1.2079</v>
      </c>
      <c r="X111" s="1156">
        <f>W111*I111</f>
        <v>1159.584</v>
      </c>
      <c r="Y111" s="838" t="s">
        <v>635</v>
      </c>
      <c r="Z111" s="1145" t="s">
        <v>202</v>
      </c>
      <c r="AA111" s="921" t="s">
        <v>53</v>
      </c>
      <c r="AB111" s="921" t="s">
        <v>54</v>
      </c>
      <c r="AC111" s="838"/>
      <c r="AD111" s="1159">
        <v>960</v>
      </c>
      <c r="AE111" s="1159">
        <f t="shared" si="30"/>
        <v>0</v>
      </c>
      <c r="AF111" s="1160"/>
      <c r="AG111" s="838" t="s">
        <v>55</v>
      </c>
      <c r="AH111" s="838"/>
      <c r="AI111" s="830">
        <f t="shared" si="36"/>
        <v>960</v>
      </c>
      <c r="AJ111" s="970">
        <f>I111</f>
        <v>960</v>
      </c>
      <c r="AL111" s="970"/>
      <c r="AM111" s="803">
        <f t="shared" si="37"/>
        <v>960</v>
      </c>
      <c r="AW111" s="803">
        <f>I111/16</f>
        <v>60</v>
      </c>
      <c r="BC111" s="1146"/>
      <c r="BD111" s="1146"/>
      <c r="BE111" s="1146"/>
      <c r="BF111" s="1146"/>
      <c r="BG111" s="1146"/>
      <c r="BL111" s="892"/>
      <c r="BM111" s="892"/>
      <c r="BN111" s="892"/>
      <c r="BO111" s="892"/>
      <c r="BP111" s="892"/>
      <c r="BQ111" s="892"/>
      <c r="BT111" s="805">
        <f t="shared" si="34"/>
        <v>60</v>
      </c>
      <c r="BU111" s="805">
        <f t="shared" si="35"/>
        <v>0</v>
      </c>
      <c r="BV111" s="291">
        <f t="shared" si="23"/>
        <v>657783</v>
      </c>
      <c r="BW111" s="892"/>
      <c r="BX111" s="892"/>
      <c r="BY111" s="892">
        <f t="shared" si="33"/>
        <v>202217</v>
      </c>
      <c r="BZ111" s="892"/>
      <c r="CA111" s="892"/>
      <c r="CF111" s="1166"/>
      <c r="CG111" s="1166"/>
      <c r="CH111" s="1166"/>
      <c r="CI111" s="1166"/>
      <c r="CJ111" s="1166"/>
      <c r="CK111" s="1166"/>
      <c r="CL111" s="1166"/>
      <c r="CM111" s="1166"/>
      <c r="CN111" s="1166"/>
      <c r="CO111" s="1166"/>
      <c r="CP111" s="1166"/>
      <c r="CQ111" s="1166"/>
      <c r="CR111" s="1166"/>
      <c r="CS111" s="1166"/>
      <c r="CT111" s="1166"/>
      <c r="CU111" s="1166"/>
      <c r="CV111" s="1166"/>
      <c r="CW111" s="1166"/>
      <c r="CX111" s="1166"/>
      <c r="CY111" s="1166"/>
      <c r="CZ111" s="1166"/>
      <c r="DA111" s="1166"/>
    </row>
    <row r="112" s="803" customFormat="1" ht="31" hidden="1" customHeight="1" spans="1:105">
      <c r="A112" s="1144">
        <v>45958</v>
      </c>
      <c r="B112" s="874" t="s">
        <v>636</v>
      </c>
      <c r="C112" s="1146" t="s">
        <v>586</v>
      </c>
      <c r="D112" s="874">
        <v>4500183281</v>
      </c>
      <c r="E112" s="838">
        <v>1329</v>
      </c>
      <c r="F112" s="953" t="s">
        <v>637</v>
      </c>
      <c r="G112" s="1145" t="s">
        <v>151</v>
      </c>
      <c r="H112" s="921" t="s">
        <v>152</v>
      </c>
      <c r="I112" s="921">
        <v>1209</v>
      </c>
      <c r="J112" s="921">
        <v>0</v>
      </c>
      <c r="K112" s="921">
        <v>13</v>
      </c>
      <c r="L112" s="1151">
        <f t="shared" si="29"/>
        <v>93</v>
      </c>
      <c r="M112" s="848">
        <v>45994</v>
      </c>
      <c r="N112" s="848">
        <f>M112-4</f>
        <v>45990</v>
      </c>
      <c r="O112" s="838"/>
      <c r="P112" s="1152" t="s">
        <v>46</v>
      </c>
      <c r="Q112" s="838"/>
      <c r="R112" s="862">
        <v>45959</v>
      </c>
      <c r="S112" s="862" t="s">
        <v>58</v>
      </c>
      <c r="T112" s="862" t="s">
        <v>352</v>
      </c>
      <c r="U112" s="953" t="s">
        <v>638</v>
      </c>
      <c r="V112" s="1154" t="s">
        <v>496</v>
      </c>
      <c r="W112" s="1155">
        <v>1.8208</v>
      </c>
      <c r="X112" s="1156">
        <f>I112*W112</f>
        <v>2201.3472</v>
      </c>
      <c r="Y112" s="838" t="s">
        <v>639</v>
      </c>
      <c r="Z112" s="1145" t="s">
        <v>480</v>
      </c>
      <c r="AA112" s="921" t="s">
        <v>53</v>
      </c>
      <c r="AB112" s="921" t="s">
        <v>54</v>
      </c>
      <c r="AC112" s="838"/>
      <c r="AD112" s="1159">
        <v>1209</v>
      </c>
      <c r="AE112" s="1159">
        <f t="shared" si="30"/>
        <v>0</v>
      </c>
      <c r="AF112" s="1160"/>
      <c r="AG112" s="838" t="s">
        <v>55</v>
      </c>
      <c r="AH112" s="838"/>
      <c r="AI112" s="830">
        <f t="shared" si="36"/>
        <v>1209</v>
      </c>
      <c r="AJ112" s="970"/>
      <c r="AL112" s="970">
        <f>I112</f>
        <v>1209</v>
      </c>
      <c r="AM112" s="803">
        <f t="shared" si="37"/>
        <v>1209</v>
      </c>
      <c r="AQ112" s="803">
        <f>I112/13</f>
        <v>93</v>
      </c>
      <c r="BC112" s="1146"/>
      <c r="BD112" s="1146"/>
      <c r="BE112" s="1146"/>
      <c r="BF112" s="1146"/>
      <c r="BG112" s="1146"/>
      <c r="BL112" s="892"/>
      <c r="BM112" s="892"/>
      <c r="BN112" s="892"/>
      <c r="BO112" s="892"/>
      <c r="BP112" s="892"/>
      <c r="BQ112" s="892"/>
      <c r="BT112" s="805">
        <f t="shared" si="34"/>
        <v>0</v>
      </c>
      <c r="BU112" s="805">
        <f t="shared" si="35"/>
        <v>0</v>
      </c>
      <c r="BV112" s="291">
        <f t="shared" si="23"/>
        <v>658992</v>
      </c>
      <c r="BW112" s="892"/>
      <c r="BX112" s="892"/>
      <c r="BY112" s="892">
        <f t="shared" si="33"/>
        <v>201008</v>
      </c>
      <c r="BZ112" s="892"/>
      <c r="CA112" s="892"/>
      <c r="CF112" s="1166"/>
      <c r="CG112" s="1166"/>
      <c r="CH112" s="1166"/>
      <c r="CI112" s="1166"/>
      <c r="CJ112" s="1166"/>
      <c r="CK112" s="1166"/>
      <c r="CL112" s="1166"/>
      <c r="CM112" s="1166"/>
      <c r="CN112" s="1166"/>
      <c r="CO112" s="1166"/>
      <c r="CP112" s="1166"/>
      <c r="CQ112" s="1166"/>
      <c r="CR112" s="1166"/>
      <c r="CS112" s="1166"/>
      <c r="CT112" s="1166"/>
      <c r="CU112" s="1166"/>
      <c r="CV112" s="1166"/>
      <c r="CW112" s="1166"/>
      <c r="CX112" s="1166"/>
      <c r="CY112" s="1166"/>
      <c r="CZ112" s="1166"/>
      <c r="DA112" s="1166"/>
    </row>
    <row r="113" s="803" customFormat="1" ht="31" hidden="1" customHeight="1" spans="1:105">
      <c r="A113" s="1144">
        <v>45909</v>
      </c>
      <c r="B113" s="874" t="s">
        <v>640</v>
      </c>
      <c r="C113" s="1146" t="s">
        <v>586</v>
      </c>
      <c r="D113" s="874">
        <v>4500177965</v>
      </c>
      <c r="E113" s="838">
        <v>28004</v>
      </c>
      <c r="F113" s="953" t="s">
        <v>641</v>
      </c>
      <c r="G113" s="1145" t="s">
        <v>151</v>
      </c>
      <c r="H113" s="921" t="s">
        <v>152</v>
      </c>
      <c r="I113" s="921">
        <v>195</v>
      </c>
      <c r="J113" s="921">
        <v>0</v>
      </c>
      <c r="K113" s="921">
        <v>13</v>
      </c>
      <c r="L113" s="1151">
        <f t="shared" si="29"/>
        <v>15</v>
      </c>
      <c r="M113" s="848">
        <v>45994</v>
      </c>
      <c r="N113" s="848">
        <v>45990</v>
      </c>
      <c r="O113" s="838"/>
      <c r="P113" s="1152" t="s">
        <v>46</v>
      </c>
      <c r="Q113" s="838" t="s">
        <v>642</v>
      </c>
      <c r="R113" s="862">
        <v>45944</v>
      </c>
      <c r="S113" s="862" t="s">
        <v>58</v>
      </c>
      <c r="T113" s="862" t="s">
        <v>643</v>
      </c>
      <c r="U113" s="953" t="s">
        <v>644</v>
      </c>
      <c r="V113" s="1154" t="s">
        <v>645</v>
      </c>
      <c r="W113" s="1155">
        <v>2.39</v>
      </c>
      <c r="X113" s="1156">
        <f>I113*W113</f>
        <v>466.05</v>
      </c>
      <c r="Y113" s="838" t="s">
        <v>646</v>
      </c>
      <c r="Z113" s="1145" t="s">
        <v>480</v>
      </c>
      <c r="AA113" s="921" t="s">
        <v>53</v>
      </c>
      <c r="AB113" s="921" t="s">
        <v>54</v>
      </c>
      <c r="AC113" s="838"/>
      <c r="AD113" s="1159">
        <v>195</v>
      </c>
      <c r="AE113" s="1159">
        <f t="shared" si="30"/>
        <v>0</v>
      </c>
      <c r="AF113" s="1160"/>
      <c r="AG113" s="838" t="s">
        <v>55</v>
      </c>
      <c r="AH113" s="838"/>
      <c r="AI113" s="830">
        <f t="shared" si="36"/>
        <v>195</v>
      </c>
      <c r="AJ113" s="970"/>
      <c r="AL113" s="970">
        <f>I113</f>
        <v>195</v>
      </c>
      <c r="AM113" s="803">
        <f t="shared" si="37"/>
        <v>195</v>
      </c>
      <c r="AQ113" s="803">
        <f>I113/13</f>
        <v>15</v>
      </c>
      <c r="BC113" s="1146"/>
      <c r="BD113" s="1146"/>
      <c r="BE113" s="1146"/>
      <c r="BF113" s="1146"/>
      <c r="BG113" s="1146"/>
      <c r="BL113" s="892"/>
      <c r="BM113" s="892"/>
      <c r="BN113" s="892"/>
      <c r="BO113" s="892"/>
      <c r="BP113" s="892"/>
      <c r="BQ113" s="892"/>
      <c r="BT113" s="805">
        <f t="shared" si="34"/>
        <v>0</v>
      </c>
      <c r="BU113" s="805">
        <f t="shared" si="35"/>
        <v>0</v>
      </c>
      <c r="BV113" s="291">
        <f t="shared" si="23"/>
        <v>659187</v>
      </c>
      <c r="BW113" s="892"/>
      <c r="BX113" s="892"/>
      <c r="BY113" s="892">
        <f t="shared" si="33"/>
        <v>200813</v>
      </c>
      <c r="BZ113" s="892"/>
      <c r="CA113" s="892"/>
      <c r="CF113" s="1166"/>
      <c r="CG113" s="1166"/>
      <c r="CH113" s="1166"/>
      <c r="CI113" s="1166"/>
      <c r="CJ113" s="1166"/>
      <c r="CK113" s="1166"/>
      <c r="CL113" s="1166"/>
      <c r="CM113" s="1166"/>
      <c r="CN113" s="1166"/>
      <c r="CO113" s="1166"/>
      <c r="CP113" s="1166"/>
      <c r="CQ113" s="1166"/>
      <c r="CR113" s="1166"/>
      <c r="CS113" s="1166"/>
      <c r="CT113" s="1166"/>
      <c r="CU113" s="1166"/>
      <c r="CV113" s="1166"/>
      <c r="CW113" s="1166"/>
      <c r="CX113" s="1166"/>
      <c r="CY113" s="1166"/>
      <c r="CZ113" s="1166"/>
      <c r="DA113" s="1166"/>
    </row>
    <row r="114" s="803" customFormat="1" ht="31" hidden="1" customHeight="1" spans="1:105">
      <c r="A114" s="1144">
        <v>45930</v>
      </c>
      <c r="B114" s="874" t="s">
        <v>647</v>
      </c>
      <c r="C114" s="1146" t="s">
        <v>648</v>
      </c>
      <c r="D114" s="874">
        <v>4500181141</v>
      </c>
      <c r="E114" s="838" t="s">
        <v>649</v>
      </c>
      <c r="F114" s="953" t="s">
        <v>650</v>
      </c>
      <c r="G114" s="1145" t="s">
        <v>136</v>
      </c>
      <c r="H114" s="921" t="s">
        <v>137</v>
      </c>
      <c r="I114" s="921">
        <v>400</v>
      </c>
      <c r="J114" s="921">
        <v>0</v>
      </c>
      <c r="K114" s="921">
        <v>50</v>
      </c>
      <c r="L114" s="1151">
        <f t="shared" si="29"/>
        <v>8</v>
      </c>
      <c r="M114" s="848">
        <v>45996</v>
      </c>
      <c r="N114" s="848">
        <v>45992</v>
      </c>
      <c r="O114" s="838"/>
      <c r="P114" s="1152" t="s">
        <v>46</v>
      </c>
      <c r="Q114" s="838"/>
      <c r="R114" s="862">
        <v>45930</v>
      </c>
      <c r="S114" s="862" t="s">
        <v>58</v>
      </c>
      <c r="T114" s="862" t="s">
        <v>651</v>
      </c>
      <c r="U114" s="953" t="s">
        <v>652</v>
      </c>
      <c r="V114" s="1154" t="s">
        <v>653</v>
      </c>
      <c r="W114" s="1155">
        <v>2.35</v>
      </c>
      <c r="X114" s="1156">
        <f>W114*I114</f>
        <v>940</v>
      </c>
      <c r="Y114" s="838" t="s">
        <v>654</v>
      </c>
      <c r="Z114" s="1145" t="s">
        <v>355</v>
      </c>
      <c r="AA114" s="921" t="s">
        <v>53</v>
      </c>
      <c r="AB114" s="921" t="s">
        <v>54</v>
      </c>
      <c r="AC114" s="838"/>
      <c r="AD114" s="1159">
        <v>400</v>
      </c>
      <c r="AE114" s="1159">
        <f t="shared" si="30"/>
        <v>0</v>
      </c>
      <c r="AF114" s="1160"/>
      <c r="AG114" s="838" t="s">
        <v>55</v>
      </c>
      <c r="AH114" s="838"/>
      <c r="AI114" s="830">
        <f t="shared" si="36"/>
        <v>400</v>
      </c>
      <c r="AJ114" s="970"/>
      <c r="AL114" s="803">
        <f>I114</f>
        <v>400</v>
      </c>
      <c r="AM114" s="970">
        <f t="shared" si="37"/>
        <v>400</v>
      </c>
      <c r="AO114" s="970"/>
      <c r="AS114" s="838">
        <f>I114/25</f>
        <v>16</v>
      </c>
      <c r="BC114" s="1146"/>
      <c r="BD114" s="1146"/>
      <c r="BE114" s="1146"/>
      <c r="BF114" s="1146"/>
      <c r="BG114" s="1146"/>
      <c r="BL114" s="892"/>
      <c r="BM114" s="892"/>
      <c r="BN114" s="892"/>
      <c r="BO114" s="892"/>
      <c r="BP114" s="892"/>
      <c r="BQ114" s="892"/>
      <c r="BT114" s="805">
        <f t="shared" si="34"/>
        <v>16</v>
      </c>
      <c r="BU114" s="805">
        <f t="shared" si="35"/>
        <v>0</v>
      </c>
      <c r="BV114" s="291">
        <f t="shared" si="23"/>
        <v>659587</v>
      </c>
      <c r="BW114" s="892"/>
      <c r="BX114" s="892"/>
      <c r="BY114" s="892">
        <f t="shared" si="33"/>
        <v>200413</v>
      </c>
      <c r="BZ114" s="892"/>
      <c r="CA114" s="892"/>
      <c r="CF114" s="1166"/>
      <c r="CG114" s="1166"/>
      <c r="CH114" s="1166"/>
      <c r="CI114" s="1166"/>
      <c r="CJ114" s="1166"/>
      <c r="CK114" s="1166"/>
      <c r="CL114" s="1166"/>
      <c r="CM114" s="1166"/>
      <c r="CN114" s="1166"/>
      <c r="CO114" s="1166"/>
      <c r="CP114" s="1166"/>
      <c r="CQ114" s="1166"/>
      <c r="CR114" s="1166"/>
      <c r="CS114" s="1166"/>
      <c r="CT114" s="1166"/>
      <c r="CU114" s="1166"/>
      <c r="CV114" s="1166"/>
      <c r="CW114" s="1166"/>
      <c r="CX114" s="1166"/>
      <c r="CY114" s="1166"/>
      <c r="CZ114" s="1166"/>
      <c r="DA114" s="1166"/>
    </row>
    <row r="115" s="802" customFormat="1" ht="31" hidden="1" customHeight="1" spans="1:105">
      <c r="A115" s="997">
        <v>45926</v>
      </c>
      <c r="B115" s="871" t="s">
        <v>655</v>
      </c>
      <c r="C115" s="916" t="s">
        <v>656</v>
      </c>
      <c r="D115" s="871">
        <v>4500180429</v>
      </c>
      <c r="E115" s="830">
        <v>5000002007</v>
      </c>
      <c r="F115" s="1143" t="s">
        <v>657</v>
      </c>
      <c r="G115" s="989" t="s">
        <v>151</v>
      </c>
      <c r="H115" s="916" t="s">
        <v>658</v>
      </c>
      <c r="I115" s="1153">
        <v>15015</v>
      </c>
      <c r="J115" s="916">
        <v>0</v>
      </c>
      <c r="K115" s="916">
        <v>13</v>
      </c>
      <c r="L115" s="1011">
        <f t="shared" si="29"/>
        <v>1155</v>
      </c>
      <c r="M115" s="843">
        <v>45971</v>
      </c>
      <c r="N115" s="1149">
        <v>45972</v>
      </c>
      <c r="O115" s="898"/>
      <c r="P115" s="1013" t="s">
        <v>46</v>
      </c>
      <c r="Q115" s="830" t="s">
        <v>659</v>
      </c>
      <c r="R115" s="855">
        <v>45946</v>
      </c>
      <c r="S115" s="855" t="s">
        <v>58</v>
      </c>
      <c r="T115" s="855" t="s">
        <v>660</v>
      </c>
      <c r="U115" s="856" t="s">
        <v>661</v>
      </c>
      <c r="V115" s="1012" t="s">
        <v>662</v>
      </c>
      <c r="W115" s="1032">
        <v>2.39</v>
      </c>
      <c r="X115" s="1033">
        <f>W115*I115</f>
        <v>35885.85</v>
      </c>
      <c r="Y115" s="830" t="s">
        <v>663</v>
      </c>
      <c r="Z115" s="989" t="s">
        <v>664</v>
      </c>
      <c r="AA115" s="916" t="s">
        <v>53</v>
      </c>
      <c r="AB115" s="916" t="s">
        <v>54</v>
      </c>
      <c r="AC115" s="830"/>
      <c r="AD115" s="1041">
        <v>15015</v>
      </c>
      <c r="AE115" s="1041">
        <f t="shared" si="30"/>
        <v>0</v>
      </c>
      <c r="AF115" s="1042"/>
      <c r="AG115" s="830" t="s">
        <v>55</v>
      </c>
      <c r="AH115" s="830"/>
      <c r="AI115" s="830">
        <f t="shared" si="36"/>
        <v>15015</v>
      </c>
      <c r="AJ115" s="808">
        <f>I115</f>
        <v>15015</v>
      </c>
      <c r="AL115" s="808"/>
      <c r="AO115" s="802">
        <f>I115</f>
        <v>15015</v>
      </c>
      <c r="AP115" s="802">
        <f>I115/13</f>
        <v>1155</v>
      </c>
      <c r="BC115" s="998"/>
      <c r="BD115" s="998"/>
      <c r="BE115" s="998"/>
      <c r="BF115" s="998"/>
      <c r="BG115" s="998"/>
      <c r="BL115" s="888"/>
      <c r="BM115" s="888"/>
      <c r="BN115" s="888"/>
      <c r="BO115" s="888"/>
      <c r="BP115" s="888"/>
      <c r="BQ115" s="888"/>
      <c r="BT115" s="805">
        <f t="shared" si="34"/>
        <v>0</v>
      </c>
      <c r="BU115" s="805">
        <f t="shared" si="35"/>
        <v>0</v>
      </c>
      <c r="BV115" s="291">
        <f t="shared" si="23"/>
        <v>674602</v>
      </c>
      <c r="BW115" s="888"/>
      <c r="BX115" s="888"/>
      <c r="BY115" s="888">
        <f t="shared" si="33"/>
        <v>185398</v>
      </c>
      <c r="BZ115" s="888"/>
      <c r="CA115" s="888"/>
      <c r="CF115" s="1056"/>
      <c r="CG115" s="1056"/>
      <c r="CH115" s="1056"/>
      <c r="CI115" s="1056"/>
      <c r="CJ115" s="1056"/>
      <c r="CK115" s="1056"/>
      <c r="CL115" s="1056"/>
      <c r="CM115" s="1056"/>
      <c r="CN115" s="1056"/>
      <c r="CO115" s="1056"/>
      <c r="CP115" s="1056"/>
      <c r="CQ115" s="1056"/>
      <c r="CR115" s="1056"/>
      <c r="CS115" s="1056"/>
      <c r="CT115" s="1056"/>
      <c r="CU115" s="1056"/>
      <c r="CV115" s="1056"/>
      <c r="CW115" s="1056"/>
      <c r="CX115" s="1056"/>
      <c r="CY115" s="1056"/>
      <c r="CZ115" s="1056"/>
      <c r="DA115" s="1056"/>
    </row>
    <row r="116" s="802" customFormat="1" ht="31" hidden="1" customHeight="1" spans="1:105">
      <c r="A116" s="997">
        <v>45973</v>
      </c>
      <c r="B116" s="871" t="s">
        <v>665</v>
      </c>
      <c r="C116" s="998" t="s">
        <v>666</v>
      </c>
      <c r="D116" s="871">
        <v>4500185407</v>
      </c>
      <c r="E116" s="898">
        <v>21213049</v>
      </c>
      <c r="F116" s="856" t="s">
        <v>667</v>
      </c>
      <c r="G116" s="989" t="s">
        <v>151</v>
      </c>
      <c r="H116" s="916" t="s">
        <v>152</v>
      </c>
      <c r="I116" s="916">
        <v>572</v>
      </c>
      <c r="J116" s="916">
        <v>0</v>
      </c>
      <c r="K116" s="916">
        <v>13</v>
      </c>
      <c r="L116" s="1011">
        <f t="shared" si="29"/>
        <v>44</v>
      </c>
      <c r="M116" s="843">
        <v>46001</v>
      </c>
      <c r="N116" s="843">
        <v>45997</v>
      </c>
      <c r="O116" s="830"/>
      <c r="P116" s="1013" t="s">
        <v>46</v>
      </c>
      <c r="Q116" s="830"/>
      <c r="R116" s="855">
        <v>45981</v>
      </c>
      <c r="S116" s="855" t="s">
        <v>58</v>
      </c>
      <c r="T116" s="855" t="s">
        <v>668</v>
      </c>
      <c r="U116" s="856" t="s">
        <v>669</v>
      </c>
      <c r="V116" s="1012" t="s">
        <v>670</v>
      </c>
      <c r="W116" s="1032">
        <v>1.8375</v>
      </c>
      <c r="X116" s="1033">
        <f>I116*W116</f>
        <v>1051.05</v>
      </c>
      <c r="Y116" s="830" t="s">
        <v>671</v>
      </c>
      <c r="Z116" s="989" t="s">
        <v>480</v>
      </c>
      <c r="AA116" s="916" t="s">
        <v>53</v>
      </c>
      <c r="AB116" s="916" t="s">
        <v>54</v>
      </c>
      <c r="AC116" s="830"/>
      <c r="AD116" s="1041">
        <v>572</v>
      </c>
      <c r="AE116" s="1041">
        <f t="shared" si="30"/>
        <v>0</v>
      </c>
      <c r="AF116" s="1042"/>
      <c r="AG116" s="830" t="s">
        <v>55</v>
      </c>
      <c r="AH116" s="830"/>
      <c r="AI116" s="830">
        <f t="shared" si="36"/>
        <v>572</v>
      </c>
      <c r="AJ116" s="808"/>
      <c r="AL116" s="808">
        <f>I116</f>
        <v>572</v>
      </c>
      <c r="AM116" s="802">
        <f>I116</f>
        <v>572</v>
      </c>
      <c r="AO116" s="808"/>
      <c r="AQ116" s="802">
        <f>I116/13</f>
        <v>44</v>
      </c>
      <c r="AS116" s="830"/>
      <c r="BC116" s="998"/>
      <c r="BD116" s="998"/>
      <c r="BE116" s="998"/>
      <c r="BF116" s="998"/>
      <c r="BG116" s="998"/>
      <c r="BL116" s="888"/>
      <c r="BM116" s="888"/>
      <c r="BN116" s="888"/>
      <c r="BO116" s="888"/>
      <c r="BP116" s="888"/>
      <c r="BQ116" s="888"/>
      <c r="BT116" s="805">
        <f t="shared" si="34"/>
        <v>0</v>
      </c>
      <c r="BU116" s="805">
        <f t="shared" si="35"/>
        <v>0</v>
      </c>
      <c r="BV116" s="291">
        <f t="shared" si="23"/>
        <v>675174</v>
      </c>
      <c r="BW116" s="888"/>
      <c r="BX116" s="888"/>
      <c r="BY116" s="888">
        <f t="shared" si="33"/>
        <v>184826</v>
      </c>
      <c r="BZ116" s="888"/>
      <c r="CA116" s="888"/>
      <c r="CF116" s="1056"/>
      <c r="CG116" s="1056"/>
      <c r="CH116" s="1056"/>
      <c r="CI116" s="1056"/>
      <c r="CJ116" s="1056"/>
      <c r="CK116" s="1056"/>
      <c r="CL116" s="1056"/>
      <c r="CM116" s="1056"/>
      <c r="CN116" s="1056"/>
      <c r="CO116" s="1056"/>
      <c r="CP116" s="1056"/>
      <c r="CQ116" s="1056"/>
      <c r="CR116" s="1056"/>
      <c r="CS116" s="1056"/>
      <c r="CT116" s="1056"/>
      <c r="CU116" s="1056"/>
      <c r="CV116" s="1056"/>
      <c r="CW116" s="1056"/>
      <c r="CX116" s="1056"/>
      <c r="CY116" s="1056"/>
      <c r="CZ116" s="1056"/>
      <c r="DA116" s="1056"/>
    </row>
    <row r="117" s="803" customFormat="1" ht="31" hidden="1" customHeight="1" spans="1:105">
      <c r="A117" s="1144">
        <v>45953</v>
      </c>
      <c r="B117" s="874" t="s">
        <v>162</v>
      </c>
      <c r="C117" s="1146" t="s">
        <v>84</v>
      </c>
      <c r="D117" s="874">
        <v>4500182969</v>
      </c>
      <c r="E117" s="838" t="s">
        <v>672</v>
      </c>
      <c r="F117" s="953" t="s">
        <v>673</v>
      </c>
      <c r="G117" s="1145" t="s">
        <v>187</v>
      </c>
      <c r="H117" s="921" t="s">
        <v>484</v>
      </c>
      <c r="I117" s="921">
        <v>17850</v>
      </c>
      <c r="J117" s="921">
        <v>0</v>
      </c>
      <c r="K117" s="921">
        <v>25</v>
      </c>
      <c r="L117" s="1151">
        <f t="shared" si="29"/>
        <v>714</v>
      </c>
      <c r="M117" s="848">
        <v>45999</v>
      </c>
      <c r="N117" s="848">
        <v>45995</v>
      </c>
      <c r="O117" s="838"/>
      <c r="P117" s="1152" t="s">
        <v>46</v>
      </c>
      <c r="Q117" s="838"/>
      <c r="R117" s="862" t="s">
        <v>251</v>
      </c>
      <c r="S117" s="862" t="s">
        <v>48</v>
      </c>
      <c r="T117" s="862" t="s">
        <v>364</v>
      </c>
      <c r="U117" s="953" t="s">
        <v>674</v>
      </c>
      <c r="V117" s="1154" t="s">
        <v>168</v>
      </c>
      <c r="W117" s="1155">
        <v>1.1678</v>
      </c>
      <c r="X117" s="1156">
        <f>I117*W117</f>
        <v>20845.23</v>
      </c>
      <c r="Y117" s="838" t="s">
        <v>675</v>
      </c>
      <c r="Z117" s="1145" t="s">
        <v>187</v>
      </c>
      <c r="AA117" s="921" t="s">
        <v>53</v>
      </c>
      <c r="AB117" s="921" t="s">
        <v>54</v>
      </c>
      <c r="AC117" s="838"/>
      <c r="AD117" s="1159">
        <v>17850</v>
      </c>
      <c r="AE117" s="1159">
        <f t="shared" si="30"/>
        <v>0</v>
      </c>
      <c r="AF117" s="1160"/>
      <c r="AG117" s="838" t="s">
        <v>55</v>
      </c>
      <c r="AH117" s="838"/>
      <c r="AI117" s="830">
        <f t="shared" si="36"/>
        <v>17850</v>
      </c>
      <c r="AJ117" s="970">
        <f>I117</f>
        <v>17850</v>
      </c>
      <c r="AM117" s="803">
        <f>I117</f>
        <v>17850</v>
      </c>
      <c r="AO117" s="970"/>
      <c r="AR117" s="803">
        <f>I117/25</f>
        <v>714</v>
      </c>
      <c r="AS117" s="838"/>
      <c r="BC117" s="1146"/>
      <c r="BD117" s="1146"/>
      <c r="BE117" s="1146"/>
      <c r="BF117" s="1146"/>
      <c r="BG117" s="1146"/>
      <c r="BL117" s="892"/>
      <c r="BM117" s="892"/>
      <c r="BN117" s="892"/>
      <c r="BO117" s="892"/>
      <c r="BP117" s="892"/>
      <c r="BQ117" s="892"/>
      <c r="BT117" s="805">
        <f t="shared" si="34"/>
        <v>714</v>
      </c>
      <c r="BU117" s="805">
        <f t="shared" si="35"/>
        <v>0</v>
      </c>
      <c r="BV117" s="291">
        <f t="shared" si="23"/>
        <v>693024</v>
      </c>
      <c r="BW117" s="892"/>
      <c r="BX117" s="892"/>
      <c r="BY117" s="892">
        <f t="shared" si="33"/>
        <v>166976</v>
      </c>
      <c r="BZ117" s="892"/>
      <c r="CA117" s="892"/>
      <c r="CF117" s="1166"/>
      <c r="CG117" s="1166"/>
      <c r="CH117" s="1166"/>
      <c r="CI117" s="1166"/>
      <c r="CJ117" s="1166"/>
      <c r="CK117" s="1166"/>
      <c r="CL117" s="1166"/>
      <c r="CM117" s="1166"/>
      <c r="CN117" s="1166"/>
      <c r="CO117" s="1166"/>
      <c r="CP117" s="1166"/>
      <c r="CQ117" s="1166"/>
      <c r="CR117" s="1166"/>
      <c r="CS117" s="1166"/>
      <c r="CT117" s="1166"/>
      <c r="CU117" s="1166"/>
      <c r="CV117" s="1166"/>
      <c r="CW117" s="1166"/>
      <c r="CX117" s="1166"/>
      <c r="CY117" s="1166"/>
      <c r="CZ117" s="1166"/>
      <c r="DA117" s="1166"/>
    </row>
    <row r="118" s="803" customFormat="1" ht="31" hidden="1" customHeight="1" spans="1:105">
      <c r="A118" s="1144">
        <v>45961</v>
      </c>
      <c r="B118" s="874" t="s">
        <v>199</v>
      </c>
      <c r="C118" s="1146" t="s">
        <v>84</v>
      </c>
      <c r="D118" s="874">
        <v>4500183833</v>
      </c>
      <c r="E118" s="1296" t="s">
        <v>676</v>
      </c>
      <c r="F118" s="953" t="s">
        <v>677</v>
      </c>
      <c r="G118" s="1145" t="s">
        <v>202</v>
      </c>
      <c r="H118" s="921" t="s">
        <v>203</v>
      </c>
      <c r="I118" s="921">
        <v>960</v>
      </c>
      <c r="J118" s="921">
        <v>0</v>
      </c>
      <c r="K118" s="921">
        <v>16</v>
      </c>
      <c r="L118" s="1151">
        <f t="shared" si="29"/>
        <v>60</v>
      </c>
      <c r="M118" s="848">
        <v>45999</v>
      </c>
      <c r="N118" s="848">
        <v>45995</v>
      </c>
      <c r="O118" s="838" t="s">
        <v>678</v>
      </c>
      <c r="P118" s="1152" t="s">
        <v>46</v>
      </c>
      <c r="Q118" s="838"/>
      <c r="R118" s="862" t="s">
        <v>251</v>
      </c>
      <c r="S118" s="862" t="s">
        <v>58</v>
      </c>
      <c r="T118" s="862" t="s">
        <v>420</v>
      </c>
      <c r="U118" s="953" t="s">
        <v>252</v>
      </c>
      <c r="V118" s="1154" t="s">
        <v>207</v>
      </c>
      <c r="W118" s="1155">
        <v>1.2079</v>
      </c>
      <c r="X118" s="1156">
        <f>W118*I118</f>
        <v>1159.584</v>
      </c>
      <c r="Y118" s="838" t="s">
        <v>679</v>
      </c>
      <c r="Z118" s="1145" t="s">
        <v>202</v>
      </c>
      <c r="AA118" s="921" t="s">
        <v>53</v>
      </c>
      <c r="AB118" s="921" t="s">
        <v>54</v>
      </c>
      <c r="AC118" s="838"/>
      <c r="AD118" s="1159">
        <v>960</v>
      </c>
      <c r="AE118" s="1159">
        <f t="shared" si="30"/>
        <v>0</v>
      </c>
      <c r="AF118" s="1160"/>
      <c r="AG118" s="838" t="s">
        <v>55</v>
      </c>
      <c r="AH118" s="838"/>
      <c r="AI118" s="830">
        <f t="shared" si="36"/>
        <v>960</v>
      </c>
      <c r="AJ118" s="970">
        <f>I118</f>
        <v>960</v>
      </c>
      <c r="AM118" s="803">
        <f>I118</f>
        <v>960</v>
      </c>
      <c r="AO118" s="970"/>
      <c r="AS118" s="838"/>
      <c r="AW118" s="803">
        <f>I118/16</f>
        <v>60</v>
      </c>
      <c r="BC118" s="1146"/>
      <c r="BD118" s="1146"/>
      <c r="BE118" s="1146"/>
      <c r="BF118" s="1146"/>
      <c r="BG118" s="1146"/>
      <c r="BL118" s="892"/>
      <c r="BM118" s="892"/>
      <c r="BN118" s="892"/>
      <c r="BO118" s="892"/>
      <c r="BP118" s="892"/>
      <c r="BQ118" s="892"/>
      <c r="BT118" s="805">
        <f t="shared" si="34"/>
        <v>60</v>
      </c>
      <c r="BU118" s="805">
        <f t="shared" si="35"/>
        <v>0</v>
      </c>
      <c r="BV118" s="291">
        <f t="shared" si="23"/>
        <v>693984</v>
      </c>
      <c r="BW118" s="892"/>
      <c r="BX118" s="892"/>
      <c r="BY118" s="892">
        <f t="shared" si="33"/>
        <v>166016</v>
      </c>
      <c r="BZ118" s="892"/>
      <c r="CA118" s="892"/>
      <c r="CF118" s="1166"/>
      <c r="CG118" s="1166"/>
      <c r="CH118" s="1166"/>
      <c r="CI118" s="1166"/>
      <c r="CJ118" s="1166"/>
      <c r="CK118" s="1166"/>
      <c r="CL118" s="1166"/>
      <c r="CM118" s="1166"/>
      <c r="CN118" s="1166"/>
      <c r="CO118" s="1166"/>
      <c r="CP118" s="1166"/>
      <c r="CQ118" s="1166"/>
      <c r="CR118" s="1166"/>
      <c r="CS118" s="1166"/>
      <c r="CT118" s="1166"/>
      <c r="CU118" s="1166"/>
      <c r="CV118" s="1166"/>
      <c r="CW118" s="1166"/>
      <c r="CX118" s="1166"/>
      <c r="CY118" s="1166"/>
      <c r="CZ118" s="1166"/>
      <c r="DA118" s="1166"/>
    </row>
    <row r="119" s="803" customFormat="1" ht="31" hidden="1" customHeight="1" spans="1:105">
      <c r="A119" s="1144">
        <v>45932</v>
      </c>
      <c r="B119" s="874" t="s">
        <v>535</v>
      </c>
      <c r="C119" s="1146" t="s">
        <v>63</v>
      </c>
      <c r="D119" s="874">
        <v>4500181165</v>
      </c>
      <c r="E119" s="838" t="s">
        <v>680</v>
      </c>
      <c r="F119" s="953" t="s">
        <v>681</v>
      </c>
      <c r="G119" s="1145" t="s">
        <v>375</v>
      </c>
      <c r="H119" s="1106" t="s">
        <v>376</v>
      </c>
      <c r="I119" s="921">
        <v>588</v>
      </c>
      <c r="J119" s="921">
        <v>0</v>
      </c>
      <c r="K119" s="921">
        <v>12</v>
      </c>
      <c r="L119" s="1151">
        <f t="shared" si="29"/>
        <v>49</v>
      </c>
      <c r="M119" s="848">
        <v>45995</v>
      </c>
      <c r="N119" s="848">
        <v>45992</v>
      </c>
      <c r="O119" s="838"/>
      <c r="P119" s="1152" t="s">
        <v>46</v>
      </c>
      <c r="Q119" s="849" t="s">
        <v>682</v>
      </c>
      <c r="R119" s="862" t="s">
        <v>251</v>
      </c>
      <c r="S119" s="862" t="s">
        <v>48</v>
      </c>
      <c r="T119" s="862" t="s">
        <v>597</v>
      </c>
      <c r="U119" s="953" t="s">
        <v>683</v>
      </c>
      <c r="V119" s="1154" t="s">
        <v>541</v>
      </c>
      <c r="W119" s="1155">
        <v>4.82</v>
      </c>
      <c r="X119" s="1156">
        <f>W119*I119</f>
        <v>2834.16</v>
      </c>
      <c r="Y119" s="838" t="s">
        <v>684</v>
      </c>
      <c r="Z119" s="838" t="s">
        <v>375</v>
      </c>
      <c r="AA119" s="921" t="s">
        <v>53</v>
      </c>
      <c r="AB119" s="921" t="s">
        <v>54</v>
      </c>
      <c r="AC119" s="838"/>
      <c r="AD119" s="1159">
        <v>588</v>
      </c>
      <c r="AE119" s="1159">
        <f t="shared" si="30"/>
        <v>0</v>
      </c>
      <c r="AF119" s="1160"/>
      <c r="AG119" s="838" t="s">
        <v>55</v>
      </c>
      <c r="AH119" s="838"/>
      <c r="AI119" s="838">
        <f>I119*2</f>
        <v>1176</v>
      </c>
      <c r="AJ119" s="970"/>
      <c r="AK119" s="970">
        <f>I119*2</f>
        <v>1176</v>
      </c>
      <c r="AL119" s="970"/>
      <c r="AM119" s="803">
        <f>I119*2</f>
        <v>1176</v>
      </c>
      <c r="BC119" s="1146"/>
      <c r="BD119" s="1146"/>
      <c r="BE119" s="1146"/>
      <c r="BF119" s="1146"/>
      <c r="BG119" s="1146"/>
      <c r="BH119" s="803">
        <f>I119</f>
        <v>588</v>
      </c>
      <c r="BI119" s="803">
        <f>I119</f>
        <v>588</v>
      </c>
      <c r="BJ119" s="803">
        <f>I119</f>
        <v>588</v>
      </c>
      <c r="BL119" s="892"/>
      <c r="BM119" s="892"/>
      <c r="BN119" s="892"/>
      <c r="BO119" s="892"/>
      <c r="BP119" s="892"/>
      <c r="BQ119" s="892"/>
      <c r="BT119" s="805">
        <f t="shared" si="34"/>
        <v>0</v>
      </c>
      <c r="BU119" s="805">
        <f t="shared" si="35"/>
        <v>0</v>
      </c>
      <c r="BV119" s="291">
        <f t="shared" si="23"/>
        <v>695160</v>
      </c>
      <c r="BW119" s="892"/>
      <c r="BX119" s="892"/>
      <c r="BY119" s="892">
        <f t="shared" si="33"/>
        <v>164840</v>
      </c>
      <c r="BZ119" s="892"/>
      <c r="CA119" s="892"/>
      <c r="CF119" s="1166"/>
      <c r="CG119" s="1166"/>
      <c r="CH119" s="1166"/>
      <c r="CI119" s="1166"/>
      <c r="CJ119" s="1166"/>
      <c r="CK119" s="1166"/>
      <c r="CL119" s="1166"/>
      <c r="CM119" s="1166"/>
      <c r="CN119" s="1166"/>
      <c r="CO119" s="1166"/>
      <c r="CP119" s="1166"/>
      <c r="CQ119" s="1166"/>
      <c r="CR119" s="1166"/>
      <c r="CS119" s="1166"/>
      <c r="CT119" s="1166"/>
      <c r="CU119" s="1166"/>
      <c r="CV119" s="1166"/>
      <c r="CW119" s="1166"/>
      <c r="CX119" s="1166"/>
      <c r="CY119" s="1166"/>
      <c r="CZ119" s="1166"/>
      <c r="DA119" s="1166"/>
    </row>
    <row r="120" s="803" customFormat="1" ht="31" hidden="1" customHeight="1" spans="1:105">
      <c r="A120" s="1144">
        <v>45950</v>
      </c>
      <c r="B120" s="874" t="s">
        <v>685</v>
      </c>
      <c r="C120" s="1146" t="s">
        <v>70</v>
      </c>
      <c r="D120" s="874">
        <v>4500181904</v>
      </c>
      <c r="E120" s="838">
        <v>249709</v>
      </c>
      <c r="F120" s="953" t="s">
        <v>686</v>
      </c>
      <c r="G120" s="1145" t="s">
        <v>142</v>
      </c>
      <c r="H120" s="921" t="s">
        <v>137</v>
      </c>
      <c r="I120" s="921">
        <v>4560</v>
      </c>
      <c r="J120" s="921">
        <v>0</v>
      </c>
      <c r="K120" s="921">
        <v>24</v>
      </c>
      <c r="L120" s="1151">
        <f t="shared" si="29"/>
        <v>190</v>
      </c>
      <c r="M120" s="848">
        <v>46000</v>
      </c>
      <c r="N120" s="848">
        <v>45996</v>
      </c>
      <c r="O120" s="838"/>
      <c r="P120" s="1152" t="s">
        <v>46</v>
      </c>
      <c r="Q120" s="838"/>
      <c r="R120" s="862">
        <v>45950</v>
      </c>
      <c r="S120" s="862" t="s">
        <v>58</v>
      </c>
      <c r="T120" s="862" t="s">
        <v>687</v>
      </c>
      <c r="U120" s="953" t="s">
        <v>688</v>
      </c>
      <c r="V120" s="1154" t="s">
        <v>670</v>
      </c>
      <c r="W120" s="1155">
        <v>1.7904</v>
      </c>
      <c r="X120" s="1156">
        <f>W120*I120</f>
        <v>8164.224</v>
      </c>
      <c r="Y120" s="838" t="s">
        <v>689</v>
      </c>
      <c r="Z120" s="1145" t="s">
        <v>690</v>
      </c>
      <c r="AA120" s="921" t="s">
        <v>53</v>
      </c>
      <c r="AB120" s="921" t="s">
        <v>54</v>
      </c>
      <c r="AC120" s="838"/>
      <c r="AD120" s="1159">
        <v>4560</v>
      </c>
      <c r="AE120" s="1159">
        <f t="shared" si="30"/>
        <v>0</v>
      </c>
      <c r="AF120" s="1160"/>
      <c r="AG120" s="838" t="s">
        <v>55</v>
      </c>
      <c r="AH120" s="838"/>
      <c r="AI120" s="830">
        <f t="shared" ref="AI120:AI128" si="38">I120</f>
        <v>4560</v>
      </c>
      <c r="AJ120" s="970"/>
      <c r="AL120" s="803">
        <f>I120</f>
        <v>4560</v>
      </c>
      <c r="AM120" s="970">
        <f>I120</f>
        <v>4560</v>
      </c>
      <c r="AO120" s="970"/>
      <c r="AS120" s="838"/>
      <c r="BC120" s="1146"/>
      <c r="BD120" s="1146"/>
      <c r="BE120" s="1146"/>
      <c r="BF120" s="1146"/>
      <c r="BG120" s="1146"/>
      <c r="BL120" s="892"/>
      <c r="BM120" s="892"/>
      <c r="BN120" s="892"/>
      <c r="BO120" s="892"/>
      <c r="BP120" s="892"/>
      <c r="BQ120" s="892"/>
      <c r="BT120" s="805">
        <f t="shared" si="34"/>
        <v>0</v>
      </c>
      <c r="BU120" s="805">
        <f t="shared" si="35"/>
        <v>0</v>
      </c>
      <c r="BV120" s="291">
        <f t="shared" si="23"/>
        <v>699720</v>
      </c>
      <c r="BW120" s="892"/>
      <c r="BX120" s="892"/>
      <c r="BY120" s="892">
        <f t="shared" si="33"/>
        <v>160280</v>
      </c>
      <c r="BZ120" s="892"/>
      <c r="CA120" s="892"/>
      <c r="CF120" s="1166"/>
      <c r="CG120" s="1166"/>
      <c r="CH120" s="1166"/>
      <c r="CI120" s="1166"/>
      <c r="CJ120" s="1166"/>
      <c r="CK120" s="1166"/>
      <c r="CL120" s="1166"/>
      <c r="CM120" s="1166"/>
      <c r="CN120" s="1166"/>
      <c r="CO120" s="1166"/>
      <c r="CP120" s="1166"/>
      <c r="CQ120" s="1166"/>
      <c r="CR120" s="1166"/>
      <c r="CS120" s="1166"/>
      <c r="CT120" s="1166"/>
      <c r="CU120" s="1166"/>
      <c r="CV120" s="1166"/>
      <c r="CW120" s="1166"/>
      <c r="CX120" s="1166"/>
      <c r="CY120" s="1166"/>
      <c r="CZ120" s="1166"/>
      <c r="DA120" s="1166"/>
    </row>
    <row r="121" s="803" customFormat="1" ht="31" hidden="1" customHeight="1" spans="1:105">
      <c r="A121" s="1144">
        <v>45964</v>
      </c>
      <c r="B121" s="874" t="s">
        <v>691</v>
      </c>
      <c r="C121" s="1146" t="s">
        <v>566</v>
      </c>
      <c r="D121" s="874">
        <v>4500183825</v>
      </c>
      <c r="E121" s="874">
        <v>157056</v>
      </c>
      <c r="F121" s="874" t="s">
        <v>692</v>
      </c>
      <c r="G121" s="1145" t="s">
        <v>151</v>
      </c>
      <c r="H121" s="921" t="s">
        <v>152</v>
      </c>
      <c r="I121" s="921">
        <v>507</v>
      </c>
      <c r="J121" s="921">
        <v>0</v>
      </c>
      <c r="K121" s="921">
        <v>13</v>
      </c>
      <c r="L121" s="1151">
        <f t="shared" si="29"/>
        <v>39</v>
      </c>
      <c r="M121" s="848">
        <v>46001</v>
      </c>
      <c r="N121" s="848">
        <v>45997</v>
      </c>
      <c r="O121" s="838"/>
      <c r="P121" s="1152" t="s">
        <v>46</v>
      </c>
      <c r="Q121" s="838"/>
      <c r="R121" s="862">
        <v>45972</v>
      </c>
      <c r="S121" s="862" t="s">
        <v>58</v>
      </c>
      <c r="T121" s="862" t="s">
        <v>693</v>
      </c>
      <c r="U121" s="953" t="s">
        <v>694</v>
      </c>
      <c r="V121" s="1154" t="s">
        <v>695</v>
      </c>
      <c r="W121" s="1155">
        <v>1.8375</v>
      </c>
      <c r="X121" s="1156">
        <f>I121*W121</f>
        <v>931.6125</v>
      </c>
      <c r="Y121" s="838" t="s">
        <v>696</v>
      </c>
      <c r="Z121" s="1145" t="s">
        <v>480</v>
      </c>
      <c r="AA121" s="921" t="s">
        <v>53</v>
      </c>
      <c r="AB121" s="921" t="s">
        <v>54</v>
      </c>
      <c r="AC121" s="838"/>
      <c r="AD121" s="1159">
        <v>507</v>
      </c>
      <c r="AE121" s="1159">
        <f t="shared" si="30"/>
        <v>0</v>
      </c>
      <c r="AF121" s="1160"/>
      <c r="AG121" s="874" t="s">
        <v>55</v>
      </c>
      <c r="AH121" s="838"/>
      <c r="AI121" s="830">
        <f t="shared" si="38"/>
        <v>507</v>
      </c>
      <c r="AJ121" s="970"/>
      <c r="AL121" s="970">
        <f>I121</f>
        <v>507</v>
      </c>
      <c r="AM121" s="803">
        <f>I121</f>
        <v>507</v>
      </c>
      <c r="AO121" s="970"/>
      <c r="AQ121" s="803">
        <f>I121/13</f>
        <v>39</v>
      </c>
      <c r="AS121" s="838"/>
      <c r="BC121" s="1146"/>
      <c r="BD121" s="1146"/>
      <c r="BE121" s="1146"/>
      <c r="BF121" s="1146"/>
      <c r="BG121" s="1146"/>
      <c r="BL121" s="892"/>
      <c r="BM121" s="892"/>
      <c r="BN121" s="892"/>
      <c r="BO121" s="892"/>
      <c r="BP121" s="892"/>
      <c r="BQ121" s="892"/>
      <c r="BT121" s="805">
        <f t="shared" si="34"/>
        <v>0</v>
      </c>
      <c r="BU121" s="805">
        <f t="shared" si="35"/>
        <v>0</v>
      </c>
      <c r="BV121" s="291">
        <f t="shared" si="23"/>
        <v>700227</v>
      </c>
      <c r="BW121" s="892"/>
      <c r="BX121" s="892"/>
      <c r="BY121" s="892">
        <f t="shared" si="33"/>
        <v>159773</v>
      </c>
      <c r="BZ121" s="892"/>
      <c r="CA121" s="892"/>
      <c r="CF121" s="1166"/>
      <c r="CG121" s="1166"/>
      <c r="CH121" s="1166"/>
      <c r="CI121" s="1166"/>
      <c r="CJ121" s="1166"/>
      <c r="CK121" s="1166"/>
      <c r="CL121" s="1166"/>
      <c r="CM121" s="1166"/>
      <c r="CN121" s="1166"/>
      <c r="CO121" s="1166"/>
      <c r="CP121" s="1166"/>
      <c r="CQ121" s="1166"/>
      <c r="CR121" s="1166"/>
      <c r="CS121" s="1166"/>
      <c r="CT121" s="1166"/>
      <c r="CU121" s="1166"/>
      <c r="CV121" s="1166"/>
      <c r="CW121" s="1166"/>
      <c r="CX121" s="1166"/>
      <c r="CY121" s="1166"/>
      <c r="CZ121" s="1166"/>
      <c r="DA121" s="1166"/>
    </row>
    <row r="122" s="803" customFormat="1" ht="31" hidden="1" customHeight="1" spans="1:105">
      <c r="A122" s="1144">
        <v>45964</v>
      </c>
      <c r="B122" s="874" t="s">
        <v>691</v>
      </c>
      <c r="C122" s="1146" t="s">
        <v>566</v>
      </c>
      <c r="D122" s="874">
        <v>4500183825</v>
      </c>
      <c r="E122" s="874">
        <v>157056</v>
      </c>
      <c r="F122" s="874" t="s">
        <v>697</v>
      </c>
      <c r="G122" s="1145" t="s">
        <v>390</v>
      </c>
      <c r="H122" s="921" t="s">
        <v>592</v>
      </c>
      <c r="I122" s="921">
        <v>510</v>
      </c>
      <c r="J122" s="921">
        <v>0</v>
      </c>
      <c r="K122" s="921">
        <v>30</v>
      </c>
      <c r="L122" s="1151">
        <f t="shared" si="29"/>
        <v>17</v>
      </c>
      <c r="M122" s="848">
        <v>46001</v>
      </c>
      <c r="N122" s="848">
        <v>45997</v>
      </c>
      <c r="O122" s="838"/>
      <c r="P122" s="1152" t="s">
        <v>46</v>
      </c>
      <c r="Q122" s="838"/>
      <c r="R122" s="862">
        <v>45972</v>
      </c>
      <c r="S122" s="862" t="s">
        <v>58</v>
      </c>
      <c r="T122" s="862" t="s">
        <v>693</v>
      </c>
      <c r="U122" s="953" t="s">
        <v>698</v>
      </c>
      <c r="V122" s="1154" t="s">
        <v>695</v>
      </c>
      <c r="W122" s="1155">
        <v>64.778</v>
      </c>
      <c r="X122" s="1156">
        <f>W122*L122</f>
        <v>1101.226</v>
      </c>
      <c r="Y122" s="838" t="s">
        <v>696</v>
      </c>
      <c r="Z122" s="1145" t="s">
        <v>480</v>
      </c>
      <c r="AA122" s="921" t="s">
        <v>53</v>
      </c>
      <c r="AB122" s="921" t="s">
        <v>54</v>
      </c>
      <c r="AC122" s="838"/>
      <c r="AD122" s="1159">
        <v>510</v>
      </c>
      <c r="AE122" s="1159">
        <f t="shared" si="30"/>
        <v>0</v>
      </c>
      <c r="AF122" s="1160"/>
      <c r="AG122" s="873"/>
      <c r="AH122" s="838"/>
      <c r="AI122" s="830">
        <f t="shared" si="38"/>
        <v>510</v>
      </c>
      <c r="AJ122" s="970"/>
      <c r="AL122" s="921">
        <f>K122</f>
        <v>30</v>
      </c>
      <c r="AM122" s="803">
        <f>I122</f>
        <v>510</v>
      </c>
      <c r="AO122" s="970"/>
      <c r="AS122" s="838"/>
      <c r="BC122" s="1146"/>
      <c r="BD122" s="1146"/>
      <c r="BE122" s="1146"/>
      <c r="BF122" s="1146"/>
      <c r="BG122" s="1146">
        <f>L122</f>
        <v>17</v>
      </c>
      <c r="BL122" s="892"/>
      <c r="BM122" s="892"/>
      <c r="BN122" s="892"/>
      <c r="BO122" s="892"/>
      <c r="BP122" s="892"/>
      <c r="BQ122" s="892"/>
      <c r="BT122" s="805">
        <f t="shared" si="34"/>
        <v>0</v>
      </c>
      <c r="BU122" s="805">
        <f t="shared" si="35"/>
        <v>17</v>
      </c>
      <c r="BV122" s="291">
        <f t="shared" si="23"/>
        <v>700737</v>
      </c>
      <c r="BW122" s="892"/>
      <c r="BX122" s="892"/>
      <c r="BY122" s="892">
        <f t="shared" si="33"/>
        <v>159263</v>
      </c>
      <c r="BZ122" s="892"/>
      <c r="CA122" s="892"/>
      <c r="CF122" s="1166"/>
      <c r="CG122" s="1166"/>
      <c r="CH122" s="1166"/>
      <c r="CI122" s="1166"/>
      <c r="CJ122" s="1166"/>
      <c r="CK122" s="1166"/>
      <c r="CL122" s="1166"/>
      <c r="CM122" s="1166"/>
      <c r="CN122" s="1166"/>
      <c r="CO122" s="1166"/>
      <c r="CP122" s="1166"/>
      <c r="CQ122" s="1166"/>
      <c r="CR122" s="1166"/>
      <c r="CS122" s="1166"/>
      <c r="CT122" s="1166"/>
      <c r="CU122" s="1166"/>
      <c r="CV122" s="1166"/>
      <c r="CW122" s="1166"/>
      <c r="CX122" s="1166"/>
      <c r="CY122" s="1166"/>
      <c r="CZ122" s="1166"/>
      <c r="DA122" s="1166"/>
    </row>
    <row r="123" s="803" customFormat="1" ht="31" hidden="1" customHeight="1" spans="1:105">
      <c r="A123" s="1144">
        <v>45967</v>
      </c>
      <c r="B123" s="874" t="s">
        <v>233</v>
      </c>
      <c r="C123" s="1146" t="s">
        <v>70</v>
      </c>
      <c r="D123" s="874">
        <v>4500184570</v>
      </c>
      <c r="E123" s="838">
        <v>5200008118</v>
      </c>
      <c r="F123" s="1147" t="s">
        <v>699</v>
      </c>
      <c r="G123" s="1145" t="s">
        <v>235</v>
      </c>
      <c r="H123" s="921" t="s">
        <v>236</v>
      </c>
      <c r="I123" s="921">
        <v>3601</v>
      </c>
      <c r="J123" s="921">
        <v>0</v>
      </c>
      <c r="K123" s="921">
        <v>13</v>
      </c>
      <c r="L123" s="1151">
        <f t="shared" si="29"/>
        <v>277</v>
      </c>
      <c r="M123" s="848">
        <v>46006</v>
      </c>
      <c r="N123" s="848">
        <v>46002</v>
      </c>
      <c r="O123" s="838"/>
      <c r="P123" s="1152" t="s">
        <v>46</v>
      </c>
      <c r="Q123" s="838"/>
      <c r="R123" s="862">
        <v>45971</v>
      </c>
      <c r="S123" s="862" t="s">
        <v>58</v>
      </c>
      <c r="T123" s="862" t="s">
        <v>700</v>
      </c>
      <c r="U123" s="953" t="s">
        <v>701</v>
      </c>
      <c r="V123" s="1154" t="s">
        <v>519</v>
      </c>
      <c r="W123" s="1155">
        <v>1.8317</v>
      </c>
      <c r="X123" s="1156">
        <f>I123*W123</f>
        <v>6595.9517</v>
      </c>
      <c r="Y123" s="838" t="s">
        <v>702</v>
      </c>
      <c r="Z123" s="1145" t="s">
        <v>235</v>
      </c>
      <c r="AA123" s="921" t="s">
        <v>53</v>
      </c>
      <c r="AB123" s="921" t="s">
        <v>54</v>
      </c>
      <c r="AC123" s="838"/>
      <c r="AD123" s="1159">
        <v>3601</v>
      </c>
      <c r="AE123" s="850">
        <f t="shared" si="30"/>
        <v>0</v>
      </c>
      <c r="AF123" s="1160"/>
      <c r="AG123" s="838" t="s">
        <v>55</v>
      </c>
      <c r="AH123" s="838"/>
      <c r="AI123" s="830">
        <f t="shared" si="38"/>
        <v>3601</v>
      </c>
      <c r="AJ123" s="970"/>
      <c r="AL123" s="970">
        <f>I123</f>
        <v>3601</v>
      </c>
      <c r="AM123" s="803">
        <f>I123</f>
        <v>3601</v>
      </c>
      <c r="AQ123" s="803">
        <f>I123/13</f>
        <v>277</v>
      </c>
      <c r="AS123" s="838"/>
      <c r="BC123" s="1146"/>
      <c r="BD123" s="1146"/>
      <c r="BE123" s="1146"/>
      <c r="BF123" s="1146"/>
      <c r="BG123" s="1146"/>
      <c r="BL123" s="892"/>
      <c r="BM123" s="892"/>
      <c r="BN123" s="892"/>
      <c r="BO123" s="892"/>
      <c r="BP123" s="892"/>
      <c r="BQ123" s="892"/>
      <c r="BT123" s="805">
        <f t="shared" si="34"/>
        <v>0</v>
      </c>
      <c r="BU123" s="805">
        <f t="shared" si="35"/>
        <v>0</v>
      </c>
      <c r="BV123" s="291">
        <f t="shared" si="23"/>
        <v>704338</v>
      </c>
      <c r="BW123" s="892"/>
      <c r="BX123" s="892"/>
      <c r="BY123" s="892">
        <f t="shared" si="33"/>
        <v>155662</v>
      </c>
      <c r="BZ123" s="892"/>
      <c r="CA123" s="892"/>
      <c r="CF123" s="1166"/>
      <c r="CG123" s="1166"/>
      <c r="CH123" s="1166"/>
      <c r="CI123" s="1166"/>
      <c r="CJ123" s="1166"/>
      <c r="CK123" s="1166"/>
      <c r="CL123" s="1166"/>
      <c r="CM123" s="1166"/>
      <c r="CN123" s="1166"/>
      <c r="CO123" s="1166"/>
      <c r="CP123" s="1166"/>
      <c r="CQ123" s="1166"/>
      <c r="CR123" s="1166"/>
      <c r="CS123" s="1166"/>
      <c r="CT123" s="1166"/>
      <c r="CU123" s="1166"/>
      <c r="CV123" s="1166"/>
      <c r="CW123" s="1166"/>
      <c r="CX123" s="1166"/>
      <c r="CY123" s="1166"/>
      <c r="CZ123" s="1166"/>
      <c r="DA123" s="1166"/>
    </row>
    <row r="124" s="803" customFormat="1" ht="31" hidden="1" customHeight="1" spans="1:105">
      <c r="A124" s="1144">
        <v>45978</v>
      </c>
      <c r="B124" s="874" t="s">
        <v>655</v>
      </c>
      <c r="C124" s="921" t="s">
        <v>656</v>
      </c>
      <c r="D124" s="874">
        <v>4500180429</v>
      </c>
      <c r="E124" s="838">
        <v>5000002007</v>
      </c>
      <c r="F124" s="874" t="s">
        <v>703</v>
      </c>
      <c r="G124" s="1145" t="s">
        <v>151</v>
      </c>
      <c r="H124" s="921" t="s">
        <v>658</v>
      </c>
      <c r="I124" s="921">
        <v>1001</v>
      </c>
      <c r="J124" s="921">
        <v>0</v>
      </c>
      <c r="K124" s="921">
        <v>13</v>
      </c>
      <c r="L124" s="1151">
        <f t="shared" si="29"/>
        <v>77</v>
      </c>
      <c r="M124" s="848">
        <v>45992</v>
      </c>
      <c r="N124" s="848">
        <f>M124-4</f>
        <v>45988</v>
      </c>
      <c r="O124" s="838"/>
      <c r="P124" s="1152" t="s">
        <v>46</v>
      </c>
      <c r="Q124" s="838"/>
      <c r="R124" s="862">
        <v>45946</v>
      </c>
      <c r="S124" s="862" t="s">
        <v>58</v>
      </c>
      <c r="T124" s="862" t="s">
        <v>660</v>
      </c>
      <c r="U124" s="953" t="s">
        <v>661</v>
      </c>
      <c r="V124" s="1154" t="s">
        <v>662</v>
      </c>
      <c r="W124" s="1155">
        <v>2.39</v>
      </c>
      <c r="X124" s="1156">
        <f t="shared" ref="X124:X134" si="39">W124*I124</f>
        <v>2392.39</v>
      </c>
      <c r="Y124" s="838" t="s">
        <v>663</v>
      </c>
      <c r="Z124" s="1145" t="s">
        <v>664</v>
      </c>
      <c r="AA124" s="921" t="s">
        <v>53</v>
      </c>
      <c r="AB124" s="921" t="s">
        <v>54</v>
      </c>
      <c r="AC124" s="838"/>
      <c r="AD124" s="1159">
        <v>1001</v>
      </c>
      <c r="AE124" s="1159">
        <f t="shared" si="30"/>
        <v>0</v>
      </c>
      <c r="AF124" s="1160"/>
      <c r="AG124" s="838" t="s">
        <v>55</v>
      </c>
      <c r="AH124" s="838"/>
      <c r="AI124" s="830">
        <f t="shared" si="38"/>
        <v>1001</v>
      </c>
      <c r="AJ124" s="970">
        <f>I124</f>
        <v>1001</v>
      </c>
      <c r="AL124" s="970"/>
      <c r="AO124" s="803">
        <f>I124</f>
        <v>1001</v>
      </c>
      <c r="AP124" s="803">
        <f>I124/13</f>
        <v>77</v>
      </c>
      <c r="BC124" s="1146"/>
      <c r="BD124" s="1146"/>
      <c r="BE124" s="1146"/>
      <c r="BF124" s="1146"/>
      <c r="BG124" s="1146"/>
      <c r="BL124" s="892"/>
      <c r="BM124" s="892"/>
      <c r="BN124" s="892"/>
      <c r="BO124" s="892"/>
      <c r="BP124" s="892"/>
      <c r="BQ124" s="892"/>
      <c r="BT124" s="805">
        <f t="shared" si="34"/>
        <v>0</v>
      </c>
      <c r="BU124" s="805">
        <f t="shared" si="35"/>
        <v>0</v>
      </c>
      <c r="BV124" s="291">
        <f t="shared" si="23"/>
        <v>705339</v>
      </c>
      <c r="BW124" s="892"/>
      <c r="BX124" s="892"/>
      <c r="BY124" s="892">
        <f t="shared" si="33"/>
        <v>154661</v>
      </c>
      <c r="BZ124" s="892"/>
      <c r="CA124" s="892"/>
      <c r="CF124" s="1166"/>
      <c r="CG124" s="1166"/>
      <c r="CH124" s="1166"/>
      <c r="CI124" s="1166"/>
      <c r="CJ124" s="1166"/>
      <c r="CK124" s="1166"/>
      <c r="CL124" s="1166"/>
      <c r="CM124" s="1166"/>
      <c r="CN124" s="1166"/>
      <c r="CO124" s="1166"/>
      <c r="CP124" s="1166"/>
      <c r="CQ124" s="1166"/>
      <c r="CR124" s="1166"/>
      <c r="CS124" s="1166"/>
      <c r="CT124" s="1166"/>
      <c r="CU124" s="1166"/>
      <c r="CV124" s="1166"/>
      <c r="CW124" s="1166"/>
      <c r="CX124" s="1166"/>
      <c r="CY124" s="1166"/>
      <c r="CZ124" s="1166"/>
      <c r="DA124" s="1166"/>
    </row>
    <row r="125" s="803" customFormat="1" ht="31" hidden="1" customHeight="1" spans="1:105">
      <c r="A125" s="1144">
        <v>45961</v>
      </c>
      <c r="B125" s="874" t="s">
        <v>199</v>
      </c>
      <c r="C125" s="1146" t="s">
        <v>84</v>
      </c>
      <c r="D125" s="874">
        <v>4500183834</v>
      </c>
      <c r="E125" s="1296" t="s">
        <v>704</v>
      </c>
      <c r="F125" s="874" t="s">
        <v>705</v>
      </c>
      <c r="G125" s="1145" t="s">
        <v>202</v>
      </c>
      <c r="H125" s="921" t="s">
        <v>203</v>
      </c>
      <c r="I125" s="921">
        <v>960</v>
      </c>
      <c r="J125" s="921">
        <v>0</v>
      </c>
      <c r="K125" s="921">
        <v>16</v>
      </c>
      <c r="L125" s="1151">
        <f t="shared" si="29"/>
        <v>60</v>
      </c>
      <c r="M125" s="848">
        <v>46007</v>
      </c>
      <c r="N125" s="848">
        <v>46003</v>
      </c>
      <c r="O125" s="838" t="s">
        <v>706</v>
      </c>
      <c r="P125" s="1152" t="s">
        <v>46</v>
      </c>
      <c r="Q125" s="838"/>
      <c r="R125" s="862" t="s">
        <v>251</v>
      </c>
      <c r="S125" s="862" t="s">
        <v>58</v>
      </c>
      <c r="T125" s="862" t="s">
        <v>420</v>
      </c>
      <c r="U125" s="953" t="s">
        <v>252</v>
      </c>
      <c r="V125" s="1154" t="s">
        <v>207</v>
      </c>
      <c r="W125" s="1155">
        <v>1.2079</v>
      </c>
      <c r="X125" s="1156">
        <f t="shared" si="39"/>
        <v>1159.584</v>
      </c>
      <c r="Y125" s="838" t="s">
        <v>707</v>
      </c>
      <c r="Z125" s="1145" t="s">
        <v>202</v>
      </c>
      <c r="AA125" s="921" t="s">
        <v>53</v>
      </c>
      <c r="AB125" s="921" t="s">
        <v>54</v>
      </c>
      <c r="AC125" s="838"/>
      <c r="AD125" s="1159">
        <v>960</v>
      </c>
      <c r="AE125" s="1159">
        <f t="shared" si="30"/>
        <v>0</v>
      </c>
      <c r="AF125" s="1164">
        <v>46002</v>
      </c>
      <c r="AG125" s="838" t="s">
        <v>55</v>
      </c>
      <c r="AH125" s="838"/>
      <c r="AI125" s="830">
        <f t="shared" si="38"/>
        <v>960</v>
      </c>
      <c r="AJ125" s="970">
        <f>I125</f>
        <v>960</v>
      </c>
      <c r="AM125" s="803">
        <f>I125</f>
        <v>960</v>
      </c>
      <c r="AS125" s="838"/>
      <c r="AW125" s="803">
        <f>I125/16</f>
        <v>60</v>
      </c>
      <c r="BC125" s="1146"/>
      <c r="BD125" s="1146"/>
      <c r="BE125" s="1146"/>
      <c r="BF125" s="1146"/>
      <c r="BG125" s="1146"/>
      <c r="BL125" s="892"/>
      <c r="BM125" s="892"/>
      <c r="BN125" s="892"/>
      <c r="BO125" s="892"/>
      <c r="BP125" s="892"/>
      <c r="BQ125" s="892"/>
      <c r="BT125" s="805">
        <f t="shared" si="34"/>
        <v>60</v>
      </c>
      <c r="BU125" s="805">
        <f t="shared" si="35"/>
        <v>0</v>
      </c>
      <c r="BV125" s="291">
        <f t="shared" si="23"/>
        <v>706299</v>
      </c>
      <c r="BW125" s="892"/>
      <c r="BX125" s="892"/>
      <c r="BY125" s="892">
        <f t="shared" si="33"/>
        <v>153701</v>
      </c>
      <c r="BZ125" s="892"/>
      <c r="CA125" s="892"/>
      <c r="CF125" s="1166"/>
      <c r="CG125" s="1166"/>
      <c r="CH125" s="1166"/>
      <c r="CI125" s="1166"/>
      <c r="CJ125" s="1166"/>
      <c r="CK125" s="1166"/>
      <c r="CL125" s="1166"/>
      <c r="CM125" s="1166"/>
      <c r="CN125" s="1166"/>
      <c r="CO125" s="1166"/>
      <c r="CP125" s="1166"/>
      <c r="CQ125" s="1166"/>
      <c r="CR125" s="1166"/>
      <c r="CS125" s="1166"/>
      <c r="CT125" s="1166"/>
      <c r="CU125" s="1166"/>
      <c r="CV125" s="1166"/>
      <c r="CW125" s="1166"/>
      <c r="CX125" s="1166"/>
      <c r="CY125" s="1166"/>
      <c r="CZ125" s="1166"/>
      <c r="DA125" s="1166"/>
    </row>
    <row r="126" s="803" customFormat="1" ht="31" hidden="1" customHeight="1" spans="1:105">
      <c r="A126" s="1144">
        <v>45961</v>
      </c>
      <c r="B126" s="874" t="s">
        <v>199</v>
      </c>
      <c r="C126" s="1146" t="s">
        <v>84</v>
      </c>
      <c r="D126" s="874">
        <v>4500183834</v>
      </c>
      <c r="E126" s="1296" t="s">
        <v>708</v>
      </c>
      <c r="F126" s="874" t="s">
        <v>709</v>
      </c>
      <c r="G126" s="1145" t="s">
        <v>202</v>
      </c>
      <c r="H126" s="921" t="s">
        <v>203</v>
      </c>
      <c r="I126" s="921">
        <v>960</v>
      </c>
      <c r="J126" s="921">
        <v>0</v>
      </c>
      <c r="K126" s="921">
        <v>16</v>
      </c>
      <c r="L126" s="1151">
        <f t="shared" si="29"/>
        <v>60</v>
      </c>
      <c r="M126" s="848">
        <v>46007</v>
      </c>
      <c r="N126" s="848">
        <v>46003</v>
      </c>
      <c r="O126" s="838" t="s">
        <v>706</v>
      </c>
      <c r="P126" s="1152" t="s">
        <v>46</v>
      </c>
      <c r="Q126" s="838"/>
      <c r="R126" s="862" t="s">
        <v>251</v>
      </c>
      <c r="S126" s="862" t="s">
        <v>58</v>
      </c>
      <c r="T126" s="862" t="s">
        <v>420</v>
      </c>
      <c r="U126" s="953" t="s">
        <v>252</v>
      </c>
      <c r="V126" s="1154" t="s">
        <v>207</v>
      </c>
      <c r="W126" s="1155">
        <v>1.2079</v>
      </c>
      <c r="X126" s="1156">
        <f t="shared" si="39"/>
        <v>1159.584</v>
      </c>
      <c r="Y126" s="838" t="s">
        <v>710</v>
      </c>
      <c r="Z126" s="1145" t="s">
        <v>202</v>
      </c>
      <c r="AA126" s="921" t="s">
        <v>53</v>
      </c>
      <c r="AB126" s="921" t="s">
        <v>54</v>
      </c>
      <c r="AC126" s="838"/>
      <c r="AD126" s="1159">
        <v>960</v>
      </c>
      <c r="AE126" s="1159">
        <f t="shared" si="30"/>
        <v>0</v>
      </c>
      <c r="AF126" s="1164">
        <v>46002</v>
      </c>
      <c r="AG126" s="838" t="s">
        <v>55</v>
      </c>
      <c r="AH126" s="838"/>
      <c r="AI126" s="830">
        <f t="shared" si="38"/>
        <v>960</v>
      </c>
      <c r="AJ126" s="970">
        <f>I126</f>
        <v>960</v>
      </c>
      <c r="AM126" s="803">
        <f>I126</f>
        <v>960</v>
      </c>
      <c r="AS126" s="838"/>
      <c r="AW126" s="803">
        <f>I126/16</f>
        <v>60</v>
      </c>
      <c r="BC126" s="1146"/>
      <c r="BD126" s="1146"/>
      <c r="BE126" s="1146"/>
      <c r="BF126" s="1146"/>
      <c r="BG126" s="1146"/>
      <c r="BL126" s="892"/>
      <c r="BM126" s="892"/>
      <c r="BN126" s="892"/>
      <c r="BO126" s="892"/>
      <c r="BP126" s="892"/>
      <c r="BQ126" s="892"/>
      <c r="BT126" s="805">
        <f t="shared" si="34"/>
        <v>60</v>
      </c>
      <c r="BU126" s="805">
        <f t="shared" si="35"/>
        <v>0</v>
      </c>
      <c r="BV126" s="291">
        <f t="shared" si="23"/>
        <v>707259</v>
      </c>
      <c r="BW126" s="892"/>
      <c r="BX126" s="892"/>
      <c r="BY126" s="892">
        <f t="shared" si="33"/>
        <v>152741</v>
      </c>
      <c r="BZ126" s="892"/>
      <c r="CA126" s="892"/>
      <c r="CF126" s="1166"/>
      <c r="CG126" s="1166"/>
      <c r="CH126" s="1166"/>
      <c r="CI126" s="1166"/>
      <c r="CJ126" s="1166"/>
      <c r="CK126" s="1166"/>
      <c r="CL126" s="1166"/>
      <c r="CM126" s="1166"/>
      <c r="CN126" s="1166"/>
      <c r="CO126" s="1166"/>
      <c r="CP126" s="1166"/>
      <c r="CQ126" s="1166"/>
      <c r="CR126" s="1166"/>
      <c r="CS126" s="1166"/>
      <c r="CT126" s="1166"/>
      <c r="CU126" s="1166"/>
      <c r="CV126" s="1166"/>
      <c r="CW126" s="1166"/>
      <c r="CX126" s="1166"/>
      <c r="CY126" s="1166"/>
      <c r="CZ126" s="1166"/>
      <c r="DA126" s="1166"/>
    </row>
    <row r="127" s="803" customFormat="1" ht="31" hidden="1" customHeight="1" spans="1:105">
      <c r="A127" s="1144">
        <v>45961</v>
      </c>
      <c r="B127" s="874" t="s">
        <v>199</v>
      </c>
      <c r="C127" s="1146" t="s">
        <v>84</v>
      </c>
      <c r="D127" s="874">
        <v>4500183834</v>
      </c>
      <c r="E127" s="1296" t="s">
        <v>711</v>
      </c>
      <c r="F127" s="874" t="s">
        <v>712</v>
      </c>
      <c r="G127" s="1145" t="s">
        <v>202</v>
      </c>
      <c r="H127" s="921" t="s">
        <v>203</v>
      </c>
      <c r="I127" s="921">
        <v>960</v>
      </c>
      <c r="J127" s="921">
        <v>0</v>
      </c>
      <c r="K127" s="921">
        <v>16</v>
      </c>
      <c r="L127" s="1151">
        <f t="shared" si="29"/>
        <v>60</v>
      </c>
      <c r="M127" s="848">
        <v>46007</v>
      </c>
      <c r="N127" s="848">
        <v>46003</v>
      </c>
      <c r="O127" s="838" t="s">
        <v>706</v>
      </c>
      <c r="P127" s="1152" t="s">
        <v>46</v>
      </c>
      <c r="Q127" s="838"/>
      <c r="R127" s="862" t="s">
        <v>251</v>
      </c>
      <c r="S127" s="862" t="s">
        <v>58</v>
      </c>
      <c r="T127" s="862" t="s">
        <v>420</v>
      </c>
      <c r="U127" s="953" t="s">
        <v>252</v>
      </c>
      <c r="V127" s="1154" t="s">
        <v>207</v>
      </c>
      <c r="W127" s="1155">
        <v>1.2079</v>
      </c>
      <c r="X127" s="1156">
        <f t="shared" si="39"/>
        <v>1159.584</v>
      </c>
      <c r="Y127" s="838"/>
      <c r="Z127" s="1145" t="s">
        <v>202</v>
      </c>
      <c r="AA127" s="921" t="s">
        <v>53</v>
      </c>
      <c r="AB127" s="921" t="s">
        <v>54</v>
      </c>
      <c r="AC127" s="838"/>
      <c r="AD127" s="1159">
        <v>960</v>
      </c>
      <c r="AE127" s="1159">
        <f t="shared" si="30"/>
        <v>0</v>
      </c>
      <c r="AF127" s="1164">
        <v>46002</v>
      </c>
      <c r="AG127" s="838" t="s">
        <v>55</v>
      </c>
      <c r="AH127" s="838"/>
      <c r="AI127" s="830">
        <f t="shared" si="38"/>
        <v>960</v>
      </c>
      <c r="AJ127" s="970">
        <f>I127</f>
        <v>960</v>
      </c>
      <c r="AM127" s="803">
        <f>I127</f>
        <v>960</v>
      </c>
      <c r="AS127" s="838"/>
      <c r="AW127" s="803">
        <f>I127/16</f>
        <v>60</v>
      </c>
      <c r="BC127" s="1146"/>
      <c r="BD127" s="1146"/>
      <c r="BE127" s="1146"/>
      <c r="BF127" s="1146"/>
      <c r="BG127" s="1146"/>
      <c r="BL127" s="892"/>
      <c r="BM127" s="892"/>
      <c r="BN127" s="892"/>
      <c r="BO127" s="892"/>
      <c r="BP127" s="892"/>
      <c r="BQ127" s="892"/>
      <c r="BT127" s="805">
        <f t="shared" si="34"/>
        <v>60</v>
      </c>
      <c r="BU127" s="805">
        <f t="shared" si="35"/>
        <v>0</v>
      </c>
      <c r="BV127" s="291">
        <f t="shared" si="23"/>
        <v>708219</v>
      </c>
      <c r="BW127" s="892"/>
      <c r="BX127" s="892"/>
      <c r="BY127" s="892">
        <f t="shared" si="33"/>
        <v>151781</v>
      </c>
      <c r="BZ127" s="892"/>
      <c r="CA127" s="892"/>
      <c r="CF127" s="1166"/>
      <c r="CG127" s="1166"/>
      <c r="CH127" s="1166"/>
      <c r="CI127" s="1166"/>
      <c r="CJ127" s="1166"/>
      <c r="CK127" s="1166"/>
      <c r="CL127" s="1166"/>
      <c r="CM127" s="1166"/>
      <c r="CN127" s="1166"/>
      <c r="CO127" s="1166"/>
      <c r="CP127" s="1166"/>
      <c r="CQ127" s="1166"/>
      <c r="CR127" s="1166"/>
      <c r="CS127" s="1166"/>
      <c r="CT127" s="1166"/>
      <c r="CU127" s="1166"/>
      <c r="CV127" s="1166"/>
      <c r="CW127" s="1166"/>
      <c r="CX127" s="1166"/>
      <c r="CY127" s="1166"/>
      <c r="CZ127" s="1166"/>
      <c r="DA127" s="1166"/>
    </row>
    <row r="128" s="803" customFormat="1" ht="31" hidden="1" customHeight="1" spans="1:105">
      <c r="A128" s="1144">
        <v>45961</v>
      </c>
      <c r="B128" s="874" t="s">
        <v>199</v>
      </c>
      <c r="C128" s="1146" t="s">
        <v>84</v>
      </c>
      <c r="D128" s="874">
        <v>4500183834</v>
      </c>
      <c r="E128" s="1296" t="s">
        <v>713</v>
      </c>
      <c r="F128" s="874" t="s">
        <v>714</v>
      </c>
      <c r="G128" s="1145" t="s">
        <v>202</v>
      </c>
      <c r="H128" s="921" t="s">
        <v>203</v>
      </c>
      <c r="I128" s="921">
        <v>960</v>
      </c>
      <c r="J128" s="921">
        <v>0</v>
      </c>
      <c r="K128" s="921">
        <v>16</v>
      </c>
      <c r="L128" s="1151">
        <f t="shared" si="29"/>
        <v>60</v>
      </c>
      <c r="M128" s="848">
        <v>46007</v>
      </c>
      <c r="N128" s="848">
        <v>46003</v>
      </c>
      <c r="O128" s="838" t="s">
        <v>706</v>
      </c>
      <c r="P128" s="1152" t="s">
        <v>46</v>
      </c>
      <c r="Q128" s="838"/>
      <c r="R128" s="862" t="s">
        <v>251</v>
      </c>
      <c r="S128" s="862" t="s">
        <v>58</v>
      </c>
      <c r="T128" s="862" t="s">
        <v>420</v>
      </c>
      <c r="U128" s="953" t="s">
        <v>252</v>
      </c>
      <c r="V128" s="1154" t="s">
        <v>207</v>
      </c>
      <c r="W128" s="1155">
        <v>1.2079</v>
      </c>
      <c r="X128" s="1156">
        <f t="shared" si="39"/>
        <v>1159.584</v>
      </c>
      <c r="Y128" s="838"/>
      <c r="Z128" s="1145" t="s">
        <v>202</v>
      </c>
      <c r="AA128" s="921" t="s">
        <v>53</v>
      </c>
      <c r="AB128" s="921" t="s">
        <v>54</v>
      </c>
      <c r="AC128" s="838"/>
      <c r="AD128" s="1159">
        <v>960</v>
      </c>
      <c r="AE128" s="1159">
        <f t="shared" si="30"/>
        <v>0</v>
      </c>
      <c r="AF128" s="1164">
        <v>46002</v>
      </c>
      <c r="AG128" s="838" t="s">
        <v>55</v>
      </c>
      <c r="AH128" s="838"/>
      <c r="AI128" s="830">
        <f t="shared" si="38"/>
        <v>960</v>
      </c>
      <c r="AJ128" s="970">
        <f>I128</f>
        <v>960</v>
      </c>
      <c r="AM128" s="803">
        <f>I128</f>
        <v>960</v>
      </c>
      <c r="AS128" s="838"/>
      <c r="AW128" s="803">
        <f>I128/16</f>
        <v>60</v>
      </c>
      <c r="BC128" s="1146"/>
      <c r="BD128" s="1146"/>
      <c r="BE128" s="1146"/>
      <c r="BF128" s="1146"/>
      <c r="BG128" s="1146"/>
      <c r="BL128" s="892"/>
      <c r="BM128" s="892"/>
      <c r="BN128" s="892"/>
      <c r="BO128" s="892"/>
      <c r="BP128" s="892"/>
      <c r="BQ128" s="892"/>
      <c r="BT128" s="805">
        <f t="shared" si="34"/>
        <v>60</v>
      </c>
      <c r="BU128" s="805">
        <f t="shared" si="35"/>
        <v>0</v>
      </c>
      <c r="BV128" s="291">
        <f t="shared" si="23"/>
        <v>709179</v>
      </c>
      <c r="BW128" s="892"/>
      <c r="BX128" s="892"/>
      <c r="BY128" s="892">
        <f t="shared" si="33"/>
        <v>150821</v>
      </c>
      <c r="BZ128" s="892"/>
      <c r="CA128" s="892"/>
      <c r="CF128" s="1166"/>
      <c r="CG128" s="1166"/>
      <c r="CH128" s="1166"/>
      <c r="CI128" s="1166"/>
      <c r="CJ128" s="1166"/>
      <c r="CK128" s="1166"/>
      <c r="CL128" s="1166"/>
      <c r="CM128" s="1166"/>
      <c r="CN128" s="1166"/>
      <c r="CO128" s="1166"/>
      <c r="CP128" s="1166"/>
      <c r="CQ128" s="1166"/>
      <c r="CR128" s="1166"/>
      <c r="CS128" s="1166"/>
      <c r="CT128" s="1166"/>
      <c r="CU128" s="1166"/>
      <c r="CV128" s="1166"/>
      <c r="CW128" s="1166"/>
      <c r="CX128" s="1166"/>
      <c r="CY128" s="1166"/>
      <c r="CZ128" s="1166"/>
      <c r="DA128" s="1166"/>
    </row>
    <row r="129" s="803" customFormat="1" ht="31" hidden="1" customHeight="1" spans="1:105">
      <c r="A129" s="1144">
        <v>45968</v>
      </c>
      <c r="B129" s="874" t="s">
        <v>715</v>
      </c>
      <c r="C129" s="1146" t="s">
        <v>716</v>
      </c>
      <c r="D129" s="874">
        <v>4500184839</v>
      </c>
      <c r="E129" s="838" t="s">
        <v>717</v>
      </c>
      <c r="F129" s="874" t="s">
        <v>718</v>
      </c>
      <c r="G129" s="1145" t="s">
        <v>375</v>
      </c>
      <c r="H129" s="1106" t="s">
        <v>376</v>
      </c>
      <c r="I129" s="921">
        <v>12</v>
      </c>
      <c r="J129" s="921">
        <v>0</v>
      </c>
      <c r="K129" s="921">
        <v>12</v>
      </c>
      <c r="L129" s="1151">
        <f t="shared" si="29"/>
        <v>1</v>
      </c>
      <c r="M129" s="848">
        <v>46009</v>
      </c>
      <c r="N129" s="848">
        <v>46006</v>
      </c>
      <c r="O129" s="838"/>
      <c r="P129" s="1152" t="s">
        <v>46</v>
      </c>
      <c r="Q129" s="838"/>
      <c r="R129" s="862">
        <v>45968</v>
      </c>
      <c r="S129" s="862" t="s">
        <v>48</v>
      </c>
      <c r="T129" s="862" t="s">
        <v>719</v>
      </c>
      <c r="U129" s="953" t="s">
        <v>720</v>
      </c>
      <c r="V129" s="1154" t="s">
        <v>721</v>
      </c>
      <c r="W129" s="1155">
        <v>2.8135</v>
      </c>
      <c r="X129" s="1156">
        <f t="shared" si="39"/>
        <v>33.762</v>
      </c>
      <c r="Y129" s="838" t="s">
        <v>722</v>
      </c>
      <c r="Z129" s="838" t="s">
        <v>375</v>
      </c>
      <c r="AA129" s="921" t="s">
        <v>53</v>
      </c>
      <c r="AB129" s="921" t="s">
        <v>54</v>
      </c>
      <c r="AC129" s="838"/>
      <c r="AD129" s="1159">
        <v>12</v>
      </c>
      <c r="AE129" s="1159">
        <f t="shared" si="30"/>
        <v>0</v>
      </c>
      <c r="AF129" s="1160"/>
      <c r="AG129" s="838" t="s">
        <v>55</v>
      </c>
      <c r="AH129" s="838"/>
      <c r="AI129" s="838">
        <f>I129*2</f>
        <v>24</v>
      </c>
      <c r="AJ129" s="970"/>
      <c r="AK129" s="970">
        <f>I129*2</f>
        <v>24</v>
      </c>
      <c r="AM129" s="803">
        <f>I129*2</f>
        <v>24</v>
      </c>
      <c r="AO129" s="970"/>
      <c r="AS129" s="838"/>
      <c r="BC129" s="1146"/>
      <c r="BD129" s="1146"/>
      <c r="BE129" s="1146"/>
      <c r="BF129" s="1146"/>
      <c r="BG129" s="1146"/>
      <c r="BH129" s="803">
        <f>I129</f>
        <v>12</v>
      </c>
      <c r="BI129" s="803">
        <f>I129</f>
        <v>12</v>
      </c>
      <c r="BJ129" s="803">
        <f>I129</f>
        <v>12</v>
      </c>
      <c r="BL129" s="892"/>
      <c r="BM129" s="892"/>
      <c r="BN129" s="892"/>
      <c r="BO129" s="892"/>
      <c r="BP129" s="892"/>
      <c r="BQ129" s="892"/>
      <c r="BT129" s="805">
        <f t="shared" si="34"/>
        <v>0</v>
      </c>
      <c r="BU129" s="805">
        <f t="shared" si="35"/>
        <v>0</v>
      </c>
      <c r="BV129" s="291">
        <f t="shared" si="23"/>
        <v>709203</v>
      </c>
      <c r="BW129" s="892"/>
      <c r="BX129" s="892"/>
      <c r="BY129" s="892">
        <f t="shared" si="33"/>
        <v>150797</v>
      </c>
      <c r="BZ129" s="892"/>
      <c r="CA129" s="892"/>
      <c r="CF129" s="1166"/>
      <c r="CG129" s="1166"/>
      <c r="CH129" s="1166"/>
      <c r="CI129" s="1166"/>
      <c r="CJ129" s="1166"/>
      <c r="CK129" s="1166"/>
      <c r="CL129" s="1166"/>
      <c r="CM129" s="1166"/>
      <c r="CN129" s="1166"/>
      <c r="CO129" s="1166"/>
      <c r="CP129" s="1166"/>
      <c r="CQ129" s="1166"/>
      <c r="CR129" s="1166"/>
      <c r="CS129" s="1166"/>
      <c r="CT129" s="1166"/>
      <c r="CU129" s="1166"/>
      <c r="CV129" s="1166"/>
      <c r="CW129" s="1166"/>
      <c r="CX129" s="1166"/>
      <c r="CY129" s="1166"/>
      <c r="CZ129" s="1166"/>
      <c r="DA129" s="1166"/>
    </row>
    <row r="130" s="803" customFormat="1" ht="31" hidden="1" customHeight="1" spans="1:105">
      <c r="A130" s="1144">
        <v>45968</v>
      </c>
      <c r="B130" s="874" t="s">
        <v>715</v>
      </c>
      <c r="C130" s="1146" t="s">
        <v>716</v>
      </c>
      <c r="D130" s="874">
        <v>4500184839</v>
      </c>
      <c r="E130" s="838" t="s">
        <v>723</v>
      </c>
      <c r="F130" s="874" t="s">
        <v>724</v>
      </c>
      <c r="G130" s="1145" t="s">
        <v>375</v>
      </c>
      <c r="H130" s="1106" t="s">
        <v>376</v>
      </c>
      <c r="I130" s="921">
        <v>12</v>
      </c>
      <c r="J130" s="921">
        <v>0</v>
      </c>
      <c r="K130" s="921">
        <v>12</v>
      </c>
      <c r="L130" s="1151">
        <f t="shared" si="29"/>
        <v>1</v>
      </c>
      <c r="M130" s="848">
        <v>46009</v>
      </c>
      <c r="N130" s="848">
        <v>46006</v>
      </c>
      <c r="O130" s="838"/>
      <c r="P130" s="1152" t="s">
        <v>46</v>
      </c>
      <c r="Q130" s="838"/>
      <c r="R130" s="862">
        <v>45968</v>
      </c>
      <c r="S130" s="862" t="s">
        <v>48</v>
      </c>
      <c r="T130" s="862" t="s">
        <v>719</v>
      </c>
      <c r="U130" s="953" t="s">
        <v>720</v>
      </c>
      <c r="V130" s="1154" t="s">
        <v>721</v>
      </c>
      <c r="W130" s="1155">
        <v>2.8135</v>
      </c>
      <c r="X130" s="1156">
        <f t="shared" si="39"/>
        <v>33.762</v>
      </c>
      <c r="Y130" s="838" t="s">
        <v>722</v>
      </c>
      <c r="Z130" s="838" t="s">
        <v>375</v>
      </c>
      <c r="AA130" s="921" t="s">
        <v>53</v>
      </c>
      <c r="AB130" s="921" t="s">
        <v>54</v>
      </c>
      <c r="AC130" s="838"/>
      <c r="AD130" s="1159">
        <v>12</v>
      </c>
      <c r="AE130" s="1159">
        <f t="shared" si="30"/>
        <v>0</v>
      </c>
      <c r="AF130" s="1160"/>
      <c r="AG130" s="838" t="s">
        <v>55</v>
      </c>
      <c r="AH130" s="838"/>
      <c r="AI130" s="838">
        <f>I130*2</f>
        <v>24</v>
      </c>
      <c r="AJ130" s="970"/>
      <c r="AK130" s="970">
        <f>I130*2</f>
        <v>24</v>
      </c>
      <c r="AM130" s="803">
        <f>I130*2</f>
        <v>24</v>
      </c>
      <c r="AO130" s="970"/>
      <c r="AS130" s="838"/>
      <c r="BC130" s="1146"/>
      <c r="BD130" s="1146"/>
      <c r="BE130" s="1146"/>
      <c r="BF130" s="1146"/>
      <c r="BG130" s="1146"/>
      <c r="BH130" s="803">
        <f>I130</f>
        <v>12</v>
      </c>
      <c r="BI130" s="803">
        <f>I130</f>
        <v>12</v>
      </c>
      <c r="BJ130" s="803">
        <f>I130</f>
        <v>12</v>
      </c>
      <c r="BL130" s="892"/>
      <c r="BM130" s="892"/>
      <c r="BN130" s="892"/>
      <c r="BO130" s="892"/>
      <c r="BP130" s="892"/>
      <c r="BQ130" s="892"/>
      <c r="BT130" s="805">
        <f t="shared" si="34"/>
        <v>0</v>
      </c>
      <c r="BU130" s="805">
        <f t="shared" si="35"/>
        <v>0</v>
      </c>
      <c r="BV130" s="291">
        <f t="shared" si="23"/>
        <v>709227</v>
      </c>
      <c r="BW130" s="892"/>
      <c r="BX130" s="892"/>
      <c r="BY130" s="892">
        <f t="shared" si="33"/>
        <v>150773</v>
      </c>
      <c r="BZ130" s="892"/>
      <c r="CA130" s="892"/>
      <c r="CF130" s="1166"/>
      <c r="CG130" s="1166"/>
      <c r="CH130" s="1166"/>
      <c r="CI130" s="1166"/>
      <c r="CJ130" s="1166"/>
      <c r="CK130" s="1166"/>
      <c r="CL130" s="1166"/>
      <c r="CM130" s="1166"/>
      <c r="CN130" s="1166"/>
      <c r="CO130" s="1166"/>
      <c r="CP130" s="1166"/>
      <c r="CQ130" s="1166"/>
      <c r="CR130" s="1166"/>
      <c r="CS130" s="1166"/>
      <c r="CT130" s="1166"/>
      <c r="CU130" s="1166"/>
      <c r="CV130" s="1166"/>
      <c r="CW130" s="1166"/>
      <c r="CX130" s="1166"/>
      <c r="CY130" s="1166"/>
      <c r="CZ130" s="1166"/>
      <c r="DA130" s="1166"/>
    </row>
    <row r="131" s="803" customFormat="1" ht="31" hidden="1" customHeight="1" spans="1:105">
      <c r="A131" s="1144">
        <v>45968</v>
      </c>
      <c r="B131" s="874" t="s">
        <v>715</v>
      </c>
      <c r="C131" s="1146" t="s">
        <v>716</v>
      </c>
      <c r="D131" s="874">
        <v>4500184839</v>
      </c>
      <c r="E131" s="838" t="s">
        <v>725</v>
      </c>
      <c r="F131" s="874" t="s">
        <v>726</v>
      </c>
      <c r="G131" s="1145" t="s">
        <v>375</v>
      </c>
      <c r="H131" s="1106" t="s">
        <v>376</v>
      </c>
      <c r="I131" s="921">
        <v>12</v>
      </c>
      <c r="J131" s="921">
        <v>0</v>
      </c>
      <c r="K131" s="921">
        <v>12</v>
      </c>
      <c r="L131" s="1151">
        <f t="shared" si="29"/>
        <v>1</v>
      </c>
      <c r="M131" s="848">
        <v>46009</v>
      </c>
      <c r="N131" s="848">
        <v>46006</v>
      </c>
      <c r="O131" s="838"/>
      <c r="P131" s="1152" t="s">
        <v>46</v>
      </c>
      <c r="Q131" s="838"/>
      <c r="R131" s="862">
        <v>45968</v>
      </c>
      <c r="S131" s="862" t="s">
        <v>48</v>
      </c>
      <c r="T131" s="862" t="s">
        <v>719</v>
      </c>
      <c r="U131" s="953" t="s">
        <v>720</v>
      </c>
      <c r="V131" s="1154" t="s">
        <v>721</v>
      </c>
      <c r="W131" s="1155">
        <v>2.8135</v>
      </c>
      <c r="X131" s="1156">
        <f t="shared" si="39"/>
        <v>33.762</v>
      </c>
      <c r="Y131" s="838" t="s">
        <v>722</v>
      </c>
      <c r="Z131" s="838" t="s">
        <v>375</v>
      </c>
      <c r="AA131" s="921" t="s">
        <v>53</v>
      </c>
      <c r="AB131" s="921" t="s">
        <v>54</v>
      </c>
      <c r="AC131" s="838"/>
      <c r="AD131" s="1159">
        <v>12</v>
      </c>
      <c r="AE131" s="1159">
        <f t="shared" si="30"/>
        <v>0</v>
      </c>
      <c r="AF131" s="1160"/>
      <c r="AG131" s="838" t="s">
        <v>55</v>
      </c>
      <c r="AH131" s="838"/>
      <c r="AI131" s="838">
        <f>I131*2</f>
        <v>24</v>
      </c>
      <c r="AJ131" s="970"/>
      <c r="AK131" s="970">
        <f>I131*2</f>
        <v>24</v>
      </c>
      <c r="AM131" s="803">
        <f>I131*2</f>
        <v>24</v>
      </c>
      <c r="AO131" s="970"/>
      <c r="AS131" s="838"/>
      <c r="BC131" s="1146"/>
      <c r="BD131" s="1146"/>
      <c r="BE131" s="1146"/>
      <c r="BF131" s="1146"/>
      <c r="BG131" s="1146"/>
      <c r="BH131" s="803">
        <f>I131</f>
        <v>12</v>
      </c>
      <c r="BI131" s="803">
        <f>I131</f>
        <v>12</v>
      </c>
      <c r="BJ131" s="803">
        <f>I131</f>
        <v>12</v>
      </c>
      <c r="BL131" s="892"/>
      <c r="BM131" s="892"/>
      <c r="BN131" s="892"/>
      <c r="BO131" s="892"/>
      <c r="BP131" s="892"/>
      <c r="BQ131" s="892"/>
      <c r="BT131" s="805">
        <f t="shared" ref="BT131:BT188" si="40">AR131+AS131+AW131</f>
        <v>0</v>
      </c>
      <c r="BU131" s="805">
        <f t="shared" ref="BU131:BU188" si="41">BD131+BE131+BG131</f>
        <v>0</v>
      </c>
      <c r="BV131" s="291">
        <f t="shared" si="23"/>
        <v>709251</v>
      </c>
      <c r="BW131" s="892"/>
      <c r="BX131" s="892"/>
      <c r="BY131" s="892">
        <f t="shared" si="33"/>
        <v>150749</v>
      </c>
      <c r="BZ131" s="892"/>
      <c r="CA131" s="892"/>
      <c r="CF131" s="1166"/>
      <c r="CG131" s="1166"/>
      <c r="CH131" s="1166"/>
      <c r="CI131" s="1166"/>
      <c r="CJ131" s="1166"/>
      <c r="CK131" s="1166"/>
      <c r="CL131" s="1166"/>
      <c r="CM131" s="1166"/>
      <c r="CN131" s="1166"/>
      <c r="CO131" s="1166"/>
      <c r="CP131" s="1166"/>
      <c r="CQ131" s="1166"/>
      <c r="CR131" s="1166"/>
      <c r="CS131" s="1166"/>
      <c r="CT131" s="1166"/>
      <c r="CU131" s="1166"/>
      <c r="CV131" s="1166"/>
      <c r="CW131" s="1166"/>
      <c r="CX131" s="1166"/>
      <c r="CY131" s="1166"/>
      <c r="CZ131" s="1166"/>
      <c r="DA131" s="1166"/>
    </row>
    <row r="132" s="803" customFormat="1" ht="31" hidden="1" customHeight="1" spans="1:105">
      <c r="A132" s="1144">
        <v>45968</v>
      </c>
      <c r="B132" s="874" t="s">
        <v>715</v>
      </c>
      <c r="C132" s="1146" t="s">
        <v>716</v>
      </c>
      <c r="D132" s="874">
        <v>4500184839</v>
      </c>
      <c r="E132" s="838" t="s">
        <v>727</v>
      </c>
      <c r="F132" s="874" t="s">
        <v>728</v>
      </c>
      <c r="G132" s="1145" t="s">
        <v>375</v>
      </c>
      <c r="H132" s="1106" t="s">
        <v>376</v>
      </c>
      <c r="I132" s="921">
        <v>12</v>
      </c>
      <c r="J132" s="921">
        <v>0</v>
      </c>
      <c r="K132" s="921">
        <v>12</v>
      </c>
      <c r="L132" s="1151">
        <f t="shared" si="29"/>
        <v>1</v>
      </c>
      <c r="M132" s="848">
        <v>46009</v>
      </c>
      <c r="N132" s="848">
        <v>46006</v>
      </c>
      <c r="O132" s="838"/>
      <c r="P132" s="1152" t="s">
        <v>46</v>
      </c>
      <c r="Q132" s="838"/>
      <c r="R132" s="862">
        <v>45968</v>
      </c>
      <c r="S132" s="862" t="s">
        <v>48</v>
      </c>
      <c r="T132" s="862" t="s">
        <v>719</v>
      </c>
      <c r="U132" s="953" t="s">
        <v>720</v>
      </c>
      <c r="V132" s="1154" t="s">
        <v>721</v>
      </c>
      <c r="W132" s="1155">
        <v>2.8135</v>
      </c>
      <c r="X132" s="1156">
        <f t="shared" si="39"/>
        <v>33.762</v>
      </c>
      <c r="Y132" s="838" t="s">
        <v>722</v>
      </c>
      <c r="Z132" s="838" t="s">
        <v>375</v>
      </c>
      <c r="AA132" s="921" t="s">
        <v>53</v>
      </c>
      <c r="AB132" s="921" t="s">
        <v>54</v>
      </c>
      <c r="AC132" s="838"/>
      <c r="AD132" s="1159">
        <v>12</v>
      </c>
      <c r="AE132" s="1159">
        <f t="shared" si="30"/>
        <v>0</v>
      </c>
      <c r="AF132" s="1160"/>
      <c r="AG132" s="838" t="s">
        <v>55</v>
      </c>
      <c r="AH132" s="838"/>
      <c r="AI132" s="838">
        <f>I132*2</f>
        <v>24</v>
      </c>
      <c r="AJ132" s="970"/>
      <c r="AK132" s="970">
        <f>I132*2</f>
        <v>24</v>
      </c>
      <c r="AM132" s="803">
        <f>I132*2</f>
        <v>24</v>
      </c>
      <c r="AO132" s="970"/>
      <c r="AS132" s="838"/>
      <c r="BC132" s="1146"/>
      <c r="BD132" s="1146"/>
      <c r="BE132" s="1146"/>
      <c r="BF132" s="1146"/>
      <c r="BG132" s="1146"/>
      <c r="BH132" s="803">
        <f>I132</f>
        <v>12</v>
      </c>
      <c r="BI132" s="803">
        <f>I132</f>
        <v>12</v>
      </c>
      <c r="BJ132" s="803">
        <f>I132</f>
        <v>12</v>
      </c>
      <c r="BL132" s="892"/>
      <c r="BM132" s="892"/>
      <c r="BN132" s="892"/>
      <c r="BO132" s="892"/>
      <c r="BP132" s="892"/>
      <c r="BQ132" s="892"/>
      <c r="BT132" s="805">
        <f t="shared" si="40"/>
        <v>0</v>
      </c>
      <c r="BU132" s="805">
        <f t="shared" si="41"/>
        <v>0</v>
      </c>
      <c r="BV132" s="291">
        <f t="shared" ref="BV132:BV195" si="42">AI132+BV131</f>
        <v>709275</v>
      </c>
      <c r="BW132" s="892"/>
      <c r="BX132" s="892"/>
      <c r="BY132" s="892">
        <f t="shared" si="33"/>
        <v>150725</v>
      </c>
      <c r="BZ132" s="892"/>
      <c r="CA132" s="892"/>
      <c r="CF132" s="1166"/>
      <c r="CG132" s="1166"/>
      <c r="CH132" s="1166"/>
      <c r="CI132" s="1166"/>
      <c r="CJ132" s="1166"/>
      <c r="CK132" s="1166"/>
      <c r="CL132" s="1166"/>
      <c r="CM132" s="1166"/>
      <c r="CN132" s="1166"/>
      <c r="CO132" s="1166"/>
      <c r="CP132" s="1166"/>
      <c r="CQ132" s="1166"/>
      <c r="CR132" s="1166"/>
      <c r="CS132" s="1166"/>
      <c r="CT132" s="1166"/>
      <c r="CU132" s="1166"/>
      <c r="CV132" s="1166"/>
      <c r="CW132" s="1166"/>
      <c r="CX132" s="1166"/>
      <c r="CY132" s="1166"/>
      <c r="CZ132" s="1166"/>
      <c r="DA132" s="1166"/>
    </row>
    <row r="133" s="803" customFormat="1" ht="31" hidden="1" customHeight="1" spans="1:105">
      <c r="A133" s="1144">
        <v>45968</v>
      </c>
      <c r="B133" s="874" t="s">
        <v>715</v>
      </c>
      <c r="C133" s="1146" t="s">
        <v>716</v>
      </c>
      <c r="D133" s="874">
        <v>4500184839</v>
      </c>
      <c r="E133" s="838" t="s">
        <v>729</v>
      </c>
      <c r="F133" s="874" t="s">
        <v>730</v>
      </c>
      <c r="G133" s="1145" t="s">
        <v>375</v>
      </c>
      <c r="H133" s="1106" t="s">
        <v>376</v>
      </c>
      <c r="I133" s="921">
        <v>12</v>
      </c>
      <c r="J133" s="921">
        <v>0</v>
      </c>
      <c r="K133" s="921">
        <v>12</v>
      </c>
      <c r="L133" s="1151">
        <f t="shared" si="29"/>
        <v>1</v>
      </c>
      <c r="M133" s="848">
        <v>46009</v>
      </c>
      <c r="N133" s="848">
        <v>46006</v>
      </c>
      <c r="O133" s="838"/>
      <c r="P133" s="1152" t="s">
        <v>46</v>
      </c>
      <c r="Q133" s="838"/>
      <c r="R133" s="862">
        <v>45968</v>
      </c>
      <c r="S133" s="862" t="s">
        <v>48</v>
      </c>
      <c r="T133" s="862" t="s">
        <v>719</v>
      </c>
      <c r="U133" s="953" t="s">
        <v>720</v>
      </c>
      <c r="V133" s="1154" t="s">
        <v>721</v>
      </c>
      <c r="W133" s="1155">
        <v>2.8135</v>
      </c>
      <c r="X133" s="1156">
        <f t="shared" si="39"/>
        <v>33.762</v>
      </c>
      <c r="Y133" s="838" t="s">
        <v>722</v>
      </c>
      <c r="Z133" s="838" t="s">
        <v>375</v>
      </c>
      <c r="AA133" s="921" t="s">
        <v>53</v>
      </c>
      <c r="AB133" s="921" t="s">
        <v>54</v>
      </c>
      <c r="AC133" s="838"/>
      <c r="AD133" s="1159">
        <v>12</v>
      </c>
      <c r="AE133" s="1159">
        <f t="shared" si="30"/>
        <v>0</v>
      </c>
      <c r="AF133" s="1160"/>
      <c r="AG133" s="838" t="s">
        <v>55</v>
      </c>
      <c r="AH133" s="838"/>
      <c r="AI133" s="838">
        <f>I133*2</f>
        <v>24</v>
      </c>
      <c r="AJ133" s="970"/>
      <c r="AK133" s="970">
        <f>I133*2</f>
        <v>24</v>
      </c>
      <c r="AM133" s="803">
        <f>I133*2</f>
        <v>24</v>
      </c>
      <c r="AO133" s="970"/>
      <c r="AS133" s="838"/>
      <c r="BC133" s="1146"/>
      <c r="BD133" s="1146"/>
      <c r="BE133" s="1146"/>
      <c r="BF133" s="1146"/>
      <c r="BG133" s="1146"/>
      <c r="BH133" s="803">
        <f>I133</f>
        <v>12</v>
      </c>
      <c r="BI133" s="803">
        <f>I133</f>
        <v>12</v>
      </c>
      <c r="BJ133" s="803">
        <f>I133</f>
        <v>12</v>
      </c>
      <c r="BL133" s="892"/>
      <c r="BM133" s="892"/>
      <c r="BN133" s="892"/>
      <c r="BO133" s="892"/>
      <c r="BP133" s="892"/>
      <c r="BQ133" s="892"/>
      <c r="BT133" s="805">
        <f t="shared" si="40"/>
        <v>0</v>
      </c>
      <c r="BU133" s="805">
        <f t="shared" si="41"/>
        <v>0</v>
      </c>
      <c r="BV133" s="291">
        <f t="shared" si="42"/>
        <v>709299</v>
      </c>
      <c r="BW133" s="892"/>
      <c r="BX133" s="892"/>
      <c r="BY133" s="892">
        <f t="shared" si="33"/>
        <v>150701</v>
      </c>
      <c r="BZ133" s="892"/>
      <c r="CA133" s="892"/>
      <c r="CF133" s="1166"/>
      <c r="CG133" s="1166"/>
      <c r="CH133" s="1166"/>
      <c r="CI133" s="1166"/>
      <c r="CJ133" s="1166"/>
      <c r="CK133" s="1166"/>
      <c r="CL133" s="1166"/>
      <c r="CM133" s="1166"/>
      <c r="CN133" s="1166"/>
      <c r="CO133" s="1166"/>
      <c r="CP133" s="1166"/>
      <c r="CQ133" s="1166"/>
      <c r="CR133" s="1166"/>
      <c r="CS133" s="1166"/>
      <c r="CT133" s="1166"/>
      <c r="CU133" s="1166"/>
      <c r="CV133" s="1166"/>
      <c r="CW133" s="1166"/>
      <c r="CX133" s="1166"/>
      <c r="CY133" s="1166"/>
      <c r="CZ133" s="1166"/>
      <c r="DA133" s="1166"/>
    </row>
    <row r="134" s="803" customFormat="1" ht="31" hidden="1" customHeight="1" spans="1:105">
      <c r="A134" s="1144">
        <v>45961</v>
      </c>
      <c r="B134" s="874" t="s">
        <v>199</v>
      </c>
      <c r="C134" s="1146" t="s">
        <v>84</v>
      </c>
      <c r="D134" s="874">
        <v>4500183835</v>
      </c>
      <c r="E134" s="1296" t="s">
        <v>731</v>
      </c>
      <c r="F134" s="953" t="s">
        <v>732</v>
      </c>
      <c r="G134" s="1145" t="s">
        <v>202</v>
      </c>
      <c r="H134" s="921" t="s">
        <v>203</v>
      </c>
      <c r="I134" s="921">
        <v>960</v>
      </c>
      <c r="J134" s="921">
        <v>0</v>
      </c>
      <c r="K134" s="921">
        <v>16</v>
      </c>
      <c r="L134" s="1151">
        <f t="shared" si="29"/>
        <v>60</v>
      </c>
      <c r="M134" s="848">
        <v>46010</v>
      </c>
      <c r="N134" s="848">
        <v>46006</v>
      </c>
      <c r="O134" s="838" t="s">
        <v>733</v>
      </c>
      <c r="P134" s="1152" t="s">
        <v>46</v>
      </c>
      <c r="Q134" s="838"/>
      <c r="R134" s="862" t="s">
        <v>251</v>
      </c>
      <c r="S134" s="862" t="s">
        <v>58</v>
      </c>
      <c r="T134" s="862" t="s">
        <v>420</v>
      </c>
      <c r="U134" s="953" t="s">
        <v>252</v>
      </c>
      <c r="V134" s="1154" t="s">
        <v>207</v>
      </c>
      <c r="W134" s="1155">
        <v>1.2079</v>
      </c>
      <c r="X134" s="1156">
        <f t="shared" si="39"/>
        <v>1159.584</v>
      </c>
      <c r="Y134" s="838"/>
      <c r="Z134" s="1145" t="s">
        <v>202</v>
      </c>
      <c r="AA134" s="921" t="s">
        <v>53</v>
      </c>
      <c r="AB134" s="921" t="s">
        <v>54</v>
      </c>
      <c r="AC134" s="838"/>
      <c r="AD134" s="1159">
        <v>960</v>
      </c>
      <c r="AE134" s="1159">
        <f t="shared" si="30"/>
        <v>0</v>
      </c>
      <c r="AF134" s="1164">
        <v>46002</v>
      </c>
      <c r="AG134" s="838" t="s">
        <v>55</v>
      </c>
      <c r="AH134" s="838"/>
      <c r="AI134" s="830">
        <f t="shared" ref="AI134:AI143" si="43">I134</f>
        <v>960</v>
      </c>
      <c r="AJ134" s="970">
        <f>I134</f>
        <v>960</v>
      </c>
      <c r="AM134" s="803">
        <f>I134</f>
        <v>960</v>
      </c>
      <c r="AS134" s="838"/>
      <c r="AW134" s="803">
        <f>I134/16</f>
        <v>60</v>
      </c>
      <c r="BC134" s="1146"/>
      <c r="BD134" s="1146"/>
      <c r="BE134" s="1146"/>
      <c r="BF134" s="1146"/>
      <c r="BG134" s="1146"/>
      <c r="BL134" s="892"/>
      <c r="BM134" s="892"/>
      <c r="BN134" s="892"/>
      <c r="BO134" s="892"/>
      <c r="BP134" s="892"/>
      <c r="BQ134" s="892"/>
      <c r="BT134" s="805">
        <f t="shared" si="40"/>
        <v>60</v>
      </c>
      <c r="BU134" s="805">
        <f t="shared" si="41"/>
        <v>0</v>
      </c>
      <c r="BV134" s="291">
        <f t="shared" si="42"/>
        <v>710259</v>
      </c>
      <c r="BW134" s="892"/>
      <c r="BX134" s="892"/>
      <c r="BY134" s="892">
        <f t="shared" si="33"/>
        <v>149741</v>
      </c>
      <c r="BZ134" s="892"/>
      <c r="CA134" s="892"/>
      <c r="CF134" s="1166"/>
      <c r="CG134" s="1166"/>
      <c r="CH134" s="1166"/>
      <c r="CI134" s="1166"/>
      <c r="CJ134" s="1166"/>
      <c r="CK134" s="1166"/>
      <c r="CL134" s="1166"/>
      <c r="CM134" s="1166"/>
      <c r="CN134" s="1166"/>
      <c r="CO134" s="1166"/>
      <c r="CP134" s="1166"/>
      <c r="CQ134" s="1166"/>
      <c r="CR134" s="1166"/>
      <c r="CS134" s="1166"/>
      <c r="CT134" s="1166"/>
      <c r="CU134" s="1166"/>
      <c r="CV134" s="1166"/>
      <c r="CW134" s="1166"/>
      <c r="CX134" s="1166"/>
      <c r="CY134" s="1166"/>
      <c r="CZ134" s="1166"/>
      <c r="DA134" s="1166"/>
    </row>
    <row r="135" s="803" customFormat="1" ht="31" hidden="1" customHeight="1" spans="1:105">
      <c r="A135" s="1144">
        <v>45996</v>
      </c>
      <c r="B135" s="874"/>
      <c r="C135" s="1146"/>
      <c r="D135" s="874" t="s">
        <v>734</v>
      </c>
      <c r="E135" s="838"/>
      <c r="F135" s="953" t="s">
        <v>735</v>
      </c>
      <c r="G135" s="1145" t="s">
        <v>142</v>
      </c>
      <c r="H135" s="921" t="s">
        <v>440</v>
      </c>
      <c r="I135" s="921">
        <v>30</v>
      </c>
      <c r="J135" s="921">
        <v>0</v>
      </c>
      <c r="K135" s="921">
        <v>24</v>
      </c>
      <c r="L135" s="1151">
        <f t="shared" si="29"/>
        <v>1.25</v>
      </c>
      <c r="M135" s="848">
        <v>46013</v>
      </c>
      <c r="N135" s="848">
        <v>46009</v>
      </c>
      <c r="O135" s="838"/>
      <c r="P135" s="1152"/>
      <c r="Q135" s="838"/>
      <c r="R135" s="862"/>
      <c r="S135" s="862"/>
      <c r="T135" s="862"/>
      <c r="U135" s="953" t="s">
        <v>736</v>
      </c>
      <c r="V135" s="1154"/>
      <c r="W135" s="1155"/>
      <c r="X135" s="1156"/>
      <c r="Y135" s="838"/>
      <c r="Z135" s="1145" t="s">
        <v>142</v>
      </c>
      <c r="AA135" s="921" t="s">
        <v>53</v>
      </c>
      <c r="AB135" s="921"/>
      <c r="AC135" s="838"/>
      <c r="AD135" s="1159">
        <v>30</v>
      </c>
      <c r="AE135" s="1159">
        <f t="shared" si="30"/>
        <v>0</v>
      </c>
      <c r="AF135" s="1160"/>
      <c r="AG135" s="838" t="s">
        <v>58</v>
      </c>
      <c r="AH135" s="838"/>
      <c r="AI135" s="838">
        <f t="shared" si="43"/>
        <v>30</v>
      </c>
      <c r="AJ135" s="970">
        <v>30</v>
      </c>
      <c r="AM135" s="803">
        <v>30</v>
      </c>
      <c r="AS135" s="838"/>
      <c r="BC135" s="1146"/>
      <c r="BD135" s="1146"/>
      <c r="BE135" s="1146"/>
      <c r="BF135" s="1146"/>
      <c r="BG135" s="1146"/>
      <c r="BL135" s="892"/>
      <c r="BM135" s="892"/>
      <c r="BN135" s="892"/>
      <c r="BO135" s="892"/>
      <c r="BP135" s="892"/>
      <c r="BQ135" s="892"/>
      <c r="BT135" s="803">
        <f t="shared" si="40"/>
        <v>0</v>
      </c>
      <c r="BU135" s="803">
        <f t="shared" si="41"/>
        <v>0</v>
      </c>
      <c r="BV135" s="291">
        <f t="shared" si="42"/>
        <v>710289</v>
      </c>
      <c r="BW135" s="892"/>
      <c r="BX135" s="892"/>
      <c r="BY135" s="892"/>
      <c r="BZ135" s="892"/>
      <c r="CA135" s="892"/>
      <c r="CF135" s="1166"/>
      <c r="CG135" s="1166"/>
      <c r="CH135" s="1166"/>
      <c r="CI135" s="1166"/>
      <c r="CJ135" s="1166"/>
      <c r="CK135" s="1166"/>
      <c r="CL135" s="1166"/>
      <c r="CM135" s="1166"/>
      <c r="CN135" s="1166"/>
      <c r="CO135" s="1166"/>
      <c r="CP135" s="1166"/>
      <c r="CQ135" s="1166"/>
      <c r="CR135" s="1166"/>
      <c r="CS135" s="1166"/>
      <c r="CT135" s="1166"/>
      <c r="CU135" s="1166"/>
      <c r="CV135" s="1166"/>
      <c r="CW135" s="1166"/>
      <c r="CX135" s="1166"/>
      <c r="CY135" s="1166"/>
      <c r="CZ135" s="1166"/>
      <c r="DA135" s="1166"/>
    </row>
    <row r="136" s="803" customFormat="1" ht="31" hidden="1" customHeight="1" spans="1:105">
      <c r="A136" s="1144">
        <v>45996</v>
      </c>
      <c r="B136" s="874"/>
      <c r="C136" s="1146"/>
      <c r="D136" s="874" t="s">
        <v>734</v>
      </c>
      <c r="E136" s="838"/>
      <c r="F136" s="953" t="s">
        <v>737</v>
      </c>
      <c r="G136" s="1145" t="s">
        <v>145</v>
      </c>
      <c r="H136" s="921" t="s">
        <v>137</v>
      </c>
      <c r="I136" s="921">
        <v>390</v>
      </c>
      <c r="J136" s="921">
        <v>0</v>
      </c>
      <c r="K136" s="921">
        <v>52</v>
      </c>
      <c r="L136" s="1151">
        <f t="shared" si="29"/>
        <v>7.5</v>
      </c>
      <c r="M136" s="848">
        <v>46013</v>
      </c>
      <c r="N136" s="848">
        <v>46009</v>
      </c>
      <c r="O136" s="838"/>
      <c r="P136" s="1152"/>
      <c r="Q136" s="838"/>
      <c r="R136" s="862"/>
      <c r="S136" s="862"/>
      <c r="T136" s="862"/>
      <c r="U136" s="953" t="s">
        <v>738</v>
      </c>
      <c r="V136" s="1154"/>
      <c r="W136" s="1155"/>
      <c r="X136" s="1156"/>
      <c r="Y136" s="838"/>
      <c r="Z136" s="1145"/>
      <c r="AA136" s="921"/>
      <c r="AB136" s="921"/>
      <c r="AC136" s="838"/>
      <c r="AD136" s="1159">
        <v>390</v>
      </c>
      <c r="AE136" s="1159">
        <f t="shared" si="30"/>
        <v>0</v>
      </c>
      <c r="AF136" s="1160"/>
      <c r="AG136" s="838" t="s">
        <v>58</v>
      </c>
      <c r="AH136" s="838"/>
      <c r="AI136" s="838">
        <f t="shared" si="43"/>
        <v>390</v>
      </c>
      <c r="AJ136" s="970">
        <f>I136</f>
        <v>390</v>
      </c>
      <c r="AM136" s="803">
        <f t="shared" ref="AM136:AM143" si="44">I136</f>
        <v>390</v>
      </c>
      <c r="AP136" s="803">
        <f>I136/13</f>
        <v>30</v>
      </c>
      <c r="AS136" s="838"/>
      <c r="BC136" s="1146"/>
      <c r="BD136" s="1146"/>
      <c r="BE136" s="1146"/>
      <c r="BF136" s="1146"/>
      <c r="BG136" s="1146"/>
      <c r="BL136" s="892"/>
      <c r="BM136" s="892"/>
      <c r="BN136" s="892"/>
      <c r="BO136" s="892"/>
      <c r="BP136" s="892"/>
      <c r="BQ136" s="892"/>
      <c r="BT136" s="803">
        <f t="shared" si="40"/>
        <v>0</v>
      </c>
      <c r="BU136" s="803">
        <f t="shared" si="41"/>
        <v>0</v>
      </c>
      <c r="BV136" s="291">
        <f t="shared" si="42"/>
        <v>710679</v>
      </c>
      <c r="BW136" s="892"/>
      <c r="BX136" s="892"/>
      <c r="BY136" s="892">
        <f t="shared" ref="BY136:BY172" si="45">$BX$1+$BY$1-BV136</f>
        <v>149321</v>
      </c>
      <c r="BZ136" s="892"/>
      <c r="CA136" s="892"/>
      <c r="CF136" s="1166"/>
      <c r="CG136" s="1166"/>
      <c r="CH136" s="1166"/>
      <c r="CI136" s="1166"/>
      <c r="CJ136" s="1166"/>
      <c r="CK136" s="1166"/>
      <c r="CL136" s="1166"/>
      <c r="CM136" s="1166"/>
      <c r="CN136" s="1166"/>
      <c r="CO136" s="1166"/>
      <c r="CP136" s="1166"/>
      <c r="CQ136" s="1166"/>
      <c r="CR136" s="1166"/>
      <c r="CS136" s="1166"/>
      <c r="CT136" s="1166"/>
      <c r="CU136" s="1166"/>
      <c r="CV136" s="1166"/>
      <c r="CW136" s="1166"/>
      <c r="CX136" s="1166"/>
      <c r="CY136" s="1166"/>
      <c r="CZ136" s="1166"/>
      <c r="DA136" s="1166"/>
    </row>
    <row r="137" s="803" customFormat="1" ht="31" hidden="1" customHeight="1" spans="1:105">
      <c r="A137" s="1144">
        <v>45996</v>
      </c>
      <c r="B137" s="874"/>
      <c r="C137" s="1146"/>
      <c r="D137" s="874" t="s">
        <v>734</v>
      </c>
      <c r="E137" s="838"/>
      <c r="F137" s="953" t="s">
        <v>739</v>
      </c>
      <c r="G137" s="1145" t="s">
        <v>136</v>
      </c>
      <c r="H137" s="921" t="s">
        <v>137</v>
      </c>
      <c r="I137" s="921">
        <v>1500</v>
      </c>
      <c r="J137" s="921">
        <v>0</v>
      </c>
      <c r="K137" s="921">
        <v>50</v>
      </c>
      <c r="L137" s="1151">
        <f t="shared" si="29"/>
        <v>30</v>
      </c>
      <c r="M137" s="848">
        <v>46013</v>
      </c>
      <c r="N137" s="848">
        <v>46009</v>
      </c>
      <c r="O137" s="838"/>
      <c r="P137" s="1152"/>
      <c r="Q137" s="838"/>
      <c r="R137" s="862"/>
      <c r="S137" s="862"/>
      <c r="T137" s="862"/>
      <c r="U137" s="953" t="s">
        <v>738</v>
      </c>
      <c r="V137" s="1154"/>
      <c r="W137" s="1155"/>
      <c r="X137" s="1156"/>
      <c r="Y137" s="838"/>
      <c r="Z137" s="1145"/>
      <c r="AA137" s="921"/>
      <c r="AB137" s="921"/>
      <c r="AC137" s="838"/>
      <c r="AD137" s="1159">
        <v>1500</v>
      </c>
      <c r="AE137" s="1159">
        <f t="shared" si="30"/>
        <v>0</v>
      </c>
      <c r="AF137" s="1160"/>
      <c r="AG137" s="838" t="s">
        <v>58</v>
      </c>
      <c r="AH137" s="838"/>
      <c r="AI137" s="838">
        <f t="shared" si="43"/>
        <v>1500</v>
      </c>
      <c r="AJ137" s="970">
        <f>I137</f>
        <v>1500</v>
      </c>
      <c r="AM137" s="803">
        <f t="shared" si="44"/>
        <v>1500</v>
      </c>
      <c r="AS137" s="838"/>
      <c r="BC137" s="1146"/>
      <c r="BD137" s="1146"/>
      <c r="BE137" s="1146"/>
      <c r="BF137" s="1146"/>
      <c r="BG137" s="1146"/>
      <c r="BL137" s="892"/>
      <c r="BM137" s="892"/>
      <c r="BN137" s="892"/>
      <c r="BO137" s="892"/>
      <c r="BP137" s="892"/>
      <c r="BQ137" s="892"/>
      <c r="BT137" s="803">
        <f t="shared" si="40"/>
        <v>0</v>
      </c>
      <c r="BU137" s="803">
        <f t="shared" si="41"/>
        <v>0</v>
      </c>
      <c r="BV137" s="291">
        <f t="shared" si="42"/>
        <v>712179</v>
      </c>
      <c r="BW137" s="892"/>
      <c r="BX137" s="892"/>
      <c r="BY137" s="892">
        <f t="shared" si="45"/>
        <v>147821</v>
      </c>
      <c r="BZ137" s="892"/>
      <c r="CA137" s="892"/>
      <c r="CF137" s="1166"/>
      <c r="CG137" s="1166"/>
      <c r="CH137" s="1166"/>
      <c r="CI137" s="1166"/>
      <c r="CJ137" s="1166"/>
      <c r="CK137" s="1166"/>
      <c r="CL137" s="1166"/>
      <c r="CM137" s="1166"/>
      <c r="CN137" s="1166"/>
      <c r="CO137" s="1166"/>
      <c r="CP137" s="1166"/>
      <c r="CQ137" s="1166"/>
      <c r="CR137" s="1166"/>
      <c r="CS137" s="1166"/>
      <c r="CT137" s="1166"/>
      <c r="CU137" s="1166"/>
      <c r="CV137" s="1166"/>
      <c r="CW137" s="1166"/>
      <c r="CX137" s="1166"/>
      <c r="CY137" s="1166"/>
      <c r="CZ137" s="1166"/>
      <c r="DA137" s="1166"/>
    </row>
    <row r="138" s="803" customFormat="1" ht="31" hidden="1" customHeight="1" spans="1:105">
      <c r="A138" s="1144">
        <v>45953</v>
      </c>
      <c r="B138" s="874" t="s">
        <v>162</v>
      </c>
      <c r="C138" s="1146" t="s">
        <v>84</v>
      </c>
      <c r="D138" s="874">
        <v>4500182971</v>
      </c>
      <c r="E138" s="838" t="s">
        <v>740</v>
      </c>
      <c r="F138" s="953" t="s">
        <v>741</v>
      </c>
      <c r="G138" s="1145" t="s">
        <v>187</v>
      </c>
      <c r="H138" s="921" t="s">
        <v>484</v>
      </c>
      <c r="I138" s="921">
        <v>21000</v>
      </c>
      <c r="J138" s="921">
        <v>0</v>
      </c>
      <c r="K138" s="921">
        <v>25</v>
      </c>
      <c r="L138" s="1151">
        <f t="shared" si="29"/>
        <v>840</v>
      </c>
      <c r="M138" s="848">
        <v>46003</v>
      </c>
      <c r="N138" s="848">
        <v>45999</v>
      </c>
      <c r="O138" s="838"/>
      <c r="P138" s="1152" t="s">
        <v>46</v>
      </c>
      <c r="Q138" s="849" t="s">
        <v>742</v>
      </c>
      <c r="R138" s="862">
        <v>45957</v>
      </c>
      <c r="S138" s="862" t="s">
        <v>48</v>
      </c>
      <c r="T138" s="862" t="s">
        <v>364</v>
      </c>
      <c r="U138" s="953" t="s">
        <v>446</v>
      </c>
      <c r="V138" s="1154" t="s">
        <v>168</v>
      </c>
      <c r="W138" s="1155">
        <v>1.1617</v>
      </c>
      <c r="X138" s="1156">
        <f>I138*W138</f>
        <v>24395.7</v>
      </c>
      <c r="Y138" s="838" t="s">
        <v>743</v>
      </c>
      <c r="Z138" s="1145" t="s">
        <v>187</v>
      </c>
      <c r="AA138" s="921" t="s">
        <v>53</v>
      </c>
      <c r="AB138" s="921" t="s">
        <v>54</v>
      </c>
      <c r="AC138" s="838"/>
      <c r="AD138" s="1159">
        <f>13500+7500</f>
        <v>21000</v>
      </c>
      <c r="AE138" s="1159">
        <f t="shared" si="30"/>
        <v>0</v>
      </c>
      <c r="AF138" s="1164">
        <v>46000</v>
      </c>
      <c r="AG138" s="838" t="s">
        <v>55</v>
      </c>
      <c r="AH138" s="838"/>
      <c r="AI138" s="838">
        <f t="shared" si="43"/>
        <v>21000</v>
      </c>
      <c r="AJ138" s="970">
        <f>I138</f>
        <v>21000</v>
      </c>
      <c r="AL138" s="921"/>
      <c r="AM138" s="803">
        <f t="shared" si="44"/>
        <v>21000</v>
      </c>
      <c r="AR138" s="803">
        <f>I138/25</f>
        <v>840</v>
      </c>
      <c r="BC138" s="1146"/>
      <c r="BD138" s="1146"/>
      <c r="BE138" s="1146"/>
      <c r="BF138" s="1146"/>
      <c r="BG138" s="1146"/>
      <c r="BL138" s="892"/>
      <c r="BM138" s="892"/>
      <c r="BN138" s="892"/>
      <c r="BO138" s="892"/>
      <c r="BP138" s="892"/>
      <c r="BQ138" s="892"/>
      <c r="BT138" s="803">
        <f t="shared" si="40"/>
        <v>840</v>
      </c>
      <c r="BU138" s="803">
        <f t="shared" si="41"/>
        <v>0</v>
      </c>
      <c r="BV138" s="291">
        <f t="shared" si="42"/>
        <v>733179</v>
      </c>
      <c r="BW138" s="892"/>
      <c r="BX138" s="892"/>
      <c r="BY138" s="892">
        <f t="shared" si="45"/>
        <v>126821</v>
      </c>
      <c r="BZ138" s="892"/>
      <c r="CA138" s="892"/>
      <c r="CF138" s="1166"/>
      <c r="CG138" s="1166"/>
      <c r="CH138" s="1166"/>
      <c r="CI138" s="1166"/>
      <c r="CJ138" s="1166"/>
      <c r="CK138" s="1166"/>
      <c r="CL138" s="1166"/>
      <c r="CM138" s="1166"/>
      <c r="CN138" s="1166"/>
      <c r="CO138" s="1166"/>
      <c r="CP138" s="1166"/>
      <c r="CQ138" s="1166"/>
      <c r="CR138" s="1166"/>
      <c r="CS138" s="1166"/>
      <c r="CT138" s="1166"/>
      <c r="CU138" s="1166"/>
      <c r="CV138" s="1166"/>
      <c r="CW138" s="1166"/>
      <c r="CX138" s="1166"/>
      <c r="CY138" s="1166"/>
      <c r="CZ138" s="1166"/>
      <c r="DA138" s="1166"/>
    </row>
    <row r="139" s="803" customFormat="1" ht="31" hidden="1" customHeight="1" spans="1:105">
      <c r="A139" s="1144">
        <v>45952</v>
      </c>
      <c r="B139" s="874" t="s">
        <v>744</v>
      </c>
      <c r="C139" s="1146" t="s">
        <v>41</v>
      </c>
      <c r="D139" s="874">
        <v>4500182578</v>
      </c>
      <c r="E139" s="838">
        <v>62050798</v>
      </c>
      <c r="F139" s="953" t="s">
        <v>745</v>
      </c>
      <c r="G139" s="1145" t="s">
        <v>136</v>
      </c>
      <c r="H139" s="921" t="s">
        <v>137</v>
      </c>
      <c r="I139" s="921">
        <v>450</v>
      </c>
      <c r="J139" s="921">
        <v>0</v>
      </c>
      <c r="K139" s="921">
        <v>50</v>
      </c>
      <c r="L139" s="1151">
        <f t="shared" si="29"/>
        <v>9</v>
      </c>
      <c r="M139" s="848">
        <v>46006</v>
      </c>
      <c r="N139" s="848">
        <v>46002</v>
      </c>
      <c r="O139" s="838"/>
      <c r="P139" s="1152" t="s">
        <v>46</v>
      </c>
      <c r="Q139" s="838"/>
      <c r="R139" s="862">
        <v>45971</v>
      </c>
      <c r="S139" s="862" t="s">
        <v>58</v>
      </c>
      <c r="T139" s="862" t="s">
        <v>651</v>
      </c>
      <c r="U139" s="953" t="s">
        <v>746</v>
      </c>
      <c r="V139" s="1154" t="s">
        <v>653</v>
      </c>
      <c r="W139" s="1155">
        <v>1.9154</v>
      </c>
      <c r="X139" s="1156">
        <f>W139*I139</f>
        <v>861.93</v>
      </c>
      <c r="Y139" s="838"/>
      <c r="Z139" s="1145" t="s">
        <v>355</v>
      </c>
      <c r="AA139" s="921" t="s">
        <v>53</v>
      </c>
      <c r="AB139" s="921" t="s">
        <v>54</v>
      </c>
      <c r="AC139" s="838"/>
      <c r="AD139" s="1159">
        <v>450</v>
      </c>
      <c r="AE139" s="1159">
        <f t="shared" si="30"/>
        <v>0</v>
      </c>
      <c r="AF139" s="1160"/>
      <c r="AG139" s="838" t="s">
        <v>55</v>
      </c>
      <c r="AH139" s="838"/>
      <c r="AI139" s="838">
        <f t="shared" si="43"/>
        <v>450</v>
      </c>
      <c r="AJ139" s="970"/>
      <c r="AL139" s="803">
        <f>I139</f>
        <v>450</v>
      </c>
      <c r="AM139" s="970">
        <f t="shared" si="44"/>
        <v>450</v>
      </c>
      <c r="AS139" s="838">
        <f>I139/25</f>
        <v>18</v>
      </c>
      <c r="BC139" s="1146"/>
      <c r="BD139" s="1146"/>
      <c r="BE139" s="1146"/>
      <c r="BF139" s="1146"/>
      <c r="BG139" s="1146"/>
      <c r="BL139" s="892"/>
      <c r="BM139" s="892"/>
      <c r="BN139" s="892"/>
      <c r="BO139" s="892"/>
      <c r="BP139" s="892"/>
      <c r="BQ139" s="892"/>
      <c r="BT139" s="803">
        <f t="shared" si="40"/>
        <v>18</v>
      </c>
      <c r="BU139" s="803">
        <f t="shared" si="41"/>
        <v>0</v>
      </c>
      <c r="BV139" s="291">
        <f t="shared" si="42"/>
        <v>733629</v>
      </c>
      <c r="BW139" s="892"/>
      <c r="BX139" s="892"/>
      <c r="BY139" s="892">
        <f t="shared" si="45"/>
        <v>126371</v>
      </c>
      <c r="BZ139" s="892"/>
      <c r="CA139" s="892"/>
      <c r="CF139" s="1166"/>
      <c r="CG139" s="1166"/>
      <c r="CH139" s="1166"/>
      <c r="CI139" s="1166"/>
      <c r="CJ139" s="1166"/>
      <c r="CK139" s="1166"/>
      <c r="CL139" s="1166"/>
      <c r="CM139" s="1166"/>
      <c r="CN139" s="1166"/>
      <c r="CO139" s="1166"/>
      <c r="CP139" s="1166"/>
      <c r="CQ139" s="1166"/>
      <c r="CR139" s="1166"/>
      <c r="CS139" s="1166"/>
      <c r="CT139" s="1166"/>
      <c r="CU139" s="1166"/>
      <c r="CV139" s="1166"/>
      <c r="CW139" s="1166"/>
      <c r="CX139" s="1166"/>
      <c r="CY139" s="1166"/>
      <c r="CZ139" s="1166"/>
      <c r="DA139" s="1166"/>
    </row>
    <row r="140" s="803" customFormat="1" ht="31" hidden="1" customHeight="1" spans="1:105">
      <c r="A140" s="1144">
        <v>45929</v>
      </c>
      <c r="B140" s="874" t="s">
        <v>747</v>
      </c>
      <c r="C140" s="1146" t="s">
        <v>41</v>
      </c>
      <c r="D140" s="874">
        <v>4500180866</v>
      </c>
      <c r="E140" s="838">
        <v>5251218598</v>
      </c>
      <c r="F140" s="953" t="s">
        <v>748</v>
      </c>
      <c r="G140" s="1145" t="s">
        <v>187</v>
      </c>
      <c r="H140" s="921" t="s">
        <v>484</v>
      </c>
      <c r="I140" s="921">
        <v>13000</v>
      </c>
      <c r="J140" s="921">
        <v>0</v>
      </c>
      <c r="K140" s="921">
        <v>25</v>
      </c>
      <c r="L140" s="1151">
        <f t="shared" si="29"/>
        <v>520</v>
      </c>
      <c r="M140" s="848">
        <v>46006</v>
      </c>
      <c r="N140" s="848">
        <v>46002</v>
      </c>
      <c r="O140" s="838"/>
      <c r="P140" s="1152" t="s">
        <v>46</v>
      </c>
      <c r="Q140" s="838"/>
      <c r="R140" s="862">
        <v>45929</v>
      </c>
      <c r="S140" s="862" t="s">
        <v>58</v>
      </c>
      <c r="T140" s="862" t="s">
        <v>749</v>
      </c>
      <c r="U140" s="953" t="s">
        <v>750</v>
      </c>
      <c r="V140" s="1154" t="s">
        <v>79</v>
      </c>
      <c r="W140" s="1155">
        <v>2.66</v>
      </c>
      <c r="X140" s="1156">
        <f>I140*W140</f>
        <v>34580</v>
      </c>
      <c r="Y140" s="838" t="s">
        <v>751</v>
      </c>
      <c r="Z140" s="1145" t="s">
        <v>489</v>
      </c>
      <c r="AA140" s="921" t="s">
        <v>53</v>
      </c>
      <c r="AB140" s="921" t="s">
        <v>54</v>
      </c>
      <c r="AC140" s="838"/>
      <c r="AD140" s="1159">
        <v>13000</v>
      </c>
      <c r="AE140" s="1159">
        <f t="shared" si="30"/>
        <v>0</v>
      </c>
      <c r="AF140" s="1164">
        <v>46001</v>
      </c>
      <c r="AG140" s="838" t="s">
        <v>55</v>
      </c>
      <c r="AH140" s="838"/>
      <c r="AI140" s="838">
        <f t="shared" si="43"/>
        <v>13000</v>
      </c>
      <c r="AJ140" s="970"/>
      <c r="AL140" s="921">
        <f>I140</f>
        <v>13000</v>
      </c>
      <c r="AM140" s="803">
        <f t="shared" si="44"/>
        <v>13000</v>
      </c>
      <c r="AS140" s="803">
        <f>L140</f>
        <v>520</v>
      </c>
      <c r="BC140" s="1146"/>
      <c r="BD140" s="1146"/>
      <c r="BE140" s="1146"/>
      <c r="BF140" s="1146"/>
      <c r="BG140" s="1146"/>
      <c r="BL140" s="892"/>
      <c r="BM140" s="892"/>
      <c r="BN140" s="892"/>
      <c r="BO140" s="892"/>
      <c r="BP140" s="892"/>
      <c r="BQ140" s="892"/>
      <c r="BT140" s="803">
        <f t="shared" si="40"/>
        <v>520</v>
      </c>
      <c r="BU140" s="803">
        <f t="shared" si="41"/>
        <v>0</v>
      </c>
      <c r="BV140" s="291">
        <f t="shared" si="42"/>
        <v>746629</v>
      </c>
      <c r="BW140" s="892"/>
      <c r="BX140" s="892"/>
      <c r="BY140" s="892">
        <f t="shared" si="45"/>
        <v>113371</v>
      </c>
      <c r="BZ140" s="892"/>
      <c r="CA140" s="892"/>
      <c r="CF140" s="1166"/>
      <c r="CG140" s="1166"/>
      <c r="CH140" s="1166"/>
      <c r="CI140" s="1166"/>
      <c r="CJ140" s="1166"/>
      <c r="CK140" s="1166"/>
      <c r="CL140" s="1166"/>
      <c r="CM140" s="1166"/>
      <c r="CN140" s="1166"/>
      <c r="CO140" s="1166"/>
      <c r="CP140" s="1166"/>
      <c r="CQ140" s="1166"/>
      <c r="CR140" s="1166"/>
      <c r="CS140" s="1166"/>
      <c r="CT140" s="1166"/>
      <c r="CU140" s="1166"/>
      <c r="CV140" s="1166"/>
      <c r="CW140" s="1166"/>
      <c r="CX140" s="1166"/>
      <c r="CY140" s="1166"/>
      <c r="CZ140" s="1166"/>
      <c r="DA140" s="1166"/>
    </row>
    <row r="141" s="803" customFormat="1" ht="31" hidden="1" customHeight="1" spans="1:105">
      <c r="A141" s="1144">
        <v>45965</v>
      </c>
      <c r="B141" s="874" t="s">
        <v>752</v>
      </c>
      <c r="C141" s="1146" t="s">
        <v>753</v>
      </c>
      <c r="D141" s="874">
        <v>4500184316</v>
      </c>
      <c r="E141" s="1169">
        <v>8807187952</v>
      </c>
      <c r="F141" s="874" t="s">
        <v>754</v>
      </c>
      <c r="G141" s="1145" t="s">
        <v>136</v>
      </c>
      <c r="H141" s="921" t="s">
        <v>137</v>
      </c>
      <c r="I141" s="921">
        <v>1500</v>
      </c>
      <c r="J141" s="921">
        <v>0</v>
      </c>
      <c r="K141" s="921">
        <v>50</v>
      </c>
      <c r="L141" s="1151">
        <f t="shared" si="29"/>
        <v>30</v>
      </c>
      <c r="M141" s="939">
        <v>46009</v>
      </c>
      <c r="N141" s="939">
        <v>46006</v>
      </c>
      <c r="O141" s="838"/>
      <c r="P141" s="1152" t="s">
        <v>46</v>
      </c>
      <c r="Q141" s="838"/>
      <c r="R141" s="862">
        <v>45971</v>
      </c>
      <c r="S141" s="862" t="s">
        <v>58</v>
      </c>
      <c r="T141" s="862" t="s">
        <v>755</v>
      </c>
      <c r="U141" s="953" t="s">
        <v>756</v>
      </c>
      <c r="V141" s="1154" t="s">
        <v>79</v>
      </c>
      <c r="W141" s="1155">
        <v>1.9324</v>
      </c>
      <c r="X141" s="1156">
        <f>W141*I141</f>
        <v>2898.6</v>
      </c>
      <c r="Y141" s="838" t="s">
        <v>757</v>
      </c>
      <c r="Z141" s="1145" t="s">
        <v>355</v>
      </c>
      <c r="AA141" s="921" t="s">
        <v>53</v>
      </c>
      <c r="AB141" s="921" t="s">
        <v>54</v>
      </c>
      <c r="AC141" s="838"/>
      <c r="AD141" s="1159">
        <v>1500</v>
      </c>
      <c r="AE141" s="1159">
        <f t="shared" si="30"/>
        <v>0</v>
      </c>
      <c r="AF141" s="1160"/>
      <c r="AG141" s="838" t="s">
        <v>55</v>
      </c>
      <c r="AH141" s="838"/>
      <c r="AI141" s="838">
        <f t="shared" si="43"/>
        <v>1500</v>
      </c>
      <c r="AJ141" s="970"/>
      <c r="AL141" s="803">
        <f>I141</f>
        <v>1500</v>
      </c>
      <c r="AM141" s="970">
        <f t="shared" si="44"/>
        <v>1500</v>
      </c>
      <c r="AO141" s="970"/>
      <c r="AS141" s="838">
        <f>I141/25</f>
        <v>60</v>
      </c>
      <c r="BC141" s="1146"/>
      <c r="BD141" s="1146"/>
      <c r="BE141" s="1146"/>
      <c r="BF141" s="1146"/>
      <c r="BG141" s="1146"/>
      <c r="BL141" s="892"/>
      <c r="BM141" s="892"/>
      <c r="BN141" s="892"/>
      <c r="BO141" s="892"/>
      <c r="BP141" s="892"/>
      <c r="BQ141" s="892"/>
      <c r="BT141" s="803">
        <f t="shared" si="40"/>
        <v>60</v>
      </c>
      <c r="BU141" s="803">
        <f t="shared" si="41"/>
        <v>0</v>
      </c>
      <c r="BV141" s="291">
        <f t="shared" si="42"/>
        <v>748129</v>
      </c>
      <c r="BW141" s="892"/>
      <c r="BX141" s="892"/>
      <c r="BY141" s="892">
        <f t="shared" si="45"/>
        <v>111871</v>
      </c>
      <c r="BZ141" s="892"/>
      <c r="CA141" s="892"/>
      <c r="CF141" s="1166"/>
      <c r="CG141" s="1166"/>
      <c r="CH141" s="1166"/>
      <c r="CI141" s="1166"/>
      <c r="CJ141" s="1166"/>
      <c r="CK141" s="1166"/>
      <c r="CL141" s="1166"/>
      <c r="CM141" s="1166"/>
      <c r="CN141" s="1166"/>
      <c r="CO141" s="1166"/>
      <c r="CP141" s="1166"/>
      <c r="CQ141" s="1166"/>
      <c r="CR141" s="1166"/>
      <c r="CS141" s="1166"/>
      <c r="CT141" s="1166"/>
      <c r="CU141" s="1166"/>
      <c r="CV141" s="1166"/>
      <c r="CW141" s="1166"/>
      <c r="CX141" s="1166"/>
      <c r="CY141" s="1166"/>
      <c r="CZ141" s="1166"/>
      <c r="DA141" s="1166"/>
    </row>
    <row r="142" s="803" customFormat="1" ht="31" hidden="1" customHeight="1" spans="1:105">
      <c r="A142" s="1144">
        <v>45965</v>
      </c>
      <c r="B142" s="874" t="s">
        <v>758</v>
      </c>
      <c r="C142" s="1146" t="s">
        <v>759</v>
      </c>
      <c r="D142" s="874">
        <v>4500184355</v>
      </c>
      <c r="E142" s="1169">
        <v>4407187950</v>
      </c>
      <c r="F142" s="874" t="s">
        <v>760</v>
      </c>
      <c r="G142" s="1145" t="s">
        <v>136</v>
      </c>
      <c r="H142" s="921" t="s">
        <v>137</v>
      </c>
      <c r="I142" s="921">
        <v>1250</v>
      </c>
      <c r="J142" s="921">
        <v>0</v>
      </c>
      <c r="K142" s="921">
        <v>50</v>
      </c>
      <c r="L142" s="1151">
        <f t="shared" ref="L142:L153" si="46">I142/K142</f>
        <v>25</v>
      </c>
      <c r="M142" s="939">
        <v>46009</v>
      </c>
      <c r="N142" s="939">
        <v>46006</v>
      </c>
      <c r="O142" s="838"/>
      <c r="P142" s="1152" t="s">
        <v>46</v>
      </c>
      <c r="Q142" s="838"/>
      <c r="R142" s="862">
        <v>45971</v>
      </c>
      <c r="S142" s="862" t="s">
        <v>58</v>
      </c>
      <c r="T142" s="862" t="s">
        <v>761</v>
      </c>
      <c r="U142" s="953" t="s">
        <v>762</v>
      </c>
      <c r="V142" s="1154" t="s">
        <v>79</v>
      </c>
      <c r="W142" s="1155">
        <v>1.9324</v>
      </c>
      <c r="X142" s="1156">
        <f>W142*I142</f>
        <v>2415.5</v>
      </c>
      <c r="Y142" s="838" t="s">
        <v>763</v>
      </c>
      <c r="Z142" s="1145" t="s">
        <v>355</v>
      </c>
      <c r="AA142" s="921" t="s">
        <v>53</v>
      </c>
      <c r="AB142" s="921" t="s">
        <v>54</v>
      </c>
      <c r="AC142" s="838"/>
      <c r="AD142" s="1159">
        <v>1250</v>
      </c>
      <c r="AE142" s="1159">
        <f t="shared" ref="AE142:AE153" si="47">AD142-I142</f>
        <v>0</v>
      </c>
      <c r="AF142" s="1160"/>
      <c r="AG142" s="838" t="s">
        <v>55</v>
      </c>
      <c r="AH142" s="838"/>
      <c r="AI142" s="838">
        <f t="shared" si="43"/>
        <v>1250</v>
      </c>
      <c r="AJ142" s="970"/>
      <c r="AL142" s="803">
        <f>I142</f>
        <v>1250</v>
      </c>
      <c r="AM142" s="970">
        <f t="shared" si="44"/>
        <v>1250</v>
      </c>
      <c r="AO142" s="970"/>
      <c r="AS142" s="838">
        <f>I142/25</f>
        <v>50</v>
      </c>
      <c r="BC142" s="1146"/>
      <c r="BD142" s="1146"/>
      <c r="BE142" s="1146"/>
      <c r="BF142" s="1146"/>
      <c r="BG142" s="1146"/>
      <c r="BL142" s="892"/>
      <c r="BM142" s="892"/>
      <c r="BN142" s="892"/>
      <c r="BO142" s="892"/>
      <c r="BP142" s="892"/>
      <c r="BQ142" s="892"/>
      <c r="BT142" s="803">
        <f t="shared" si="40"/>
        <v>50</v>
      </c>
      <c r="BU142" s="803">
        <f t="shared" si="41"/>
        <v>0</v>
      </c>
      <c r="BV142" s="291">
        <f t="shared" si="42"/>
        <v>749379</v>
      </c>
      <c r="BW142" s="892"/>
      <c r="BX142" s="892"/>
      <c r="BY142" s="892">
        <f t="shared" si="45"/>
        <v>110621</v>
      </c>
      <c r="BZ142" s="892"/>
      <c r="CA142" s="892"/>
      <c r="CF142" s="1166"/>
      <c r="CG142" s="1166"/>
      <c r="CH142" s="1166"/>
      <c r="CI142" s="1166"/>
      <c r="CJ142" s="1166"/>
      <c r="CK142" s="1166"/>
      <c r="CL142" s="1166"/>
      <c r="CM142" s="1166"/>
      <c r="CN142" s="1166"/>
      <c r="CO142" s="1166"/>
      <c r="CP142" s="1166"/>
      <c r="CQ142" s="1166"/>
      <c r="CR142" s="1166"/>
      <c r="CS142" s="1166"/>
      <c r="CT142" s="1166"/>
      <c r="CU142" s="1166"/>
      <c r="CV142" s="1166"/>
      <c r="CW142" s="1166"/>
      <c r="CX142" s="1166"/>
      <c r="CY142" s="1166"/>
      <c r="CZ142" s="1166"/>
      <c r="DA142" s="1166"/>
    </row>
    <row r="143" s="803" customFormat="1" ht="31" hidden="1" customHeight="1" spans="1:105">
      <c r="A143" s="1144">
        <v>45965</v>
      </c>
      <c r="B143" s="874" t="s">
        <v>764</v>
      </c>
      <c r="C143" s="1146" t="s">
        <v>765</v>
      </c>
      <c r="D143" s="874">
        <v>4500184422</v>
      </c>
      <c r="E143" s="1169">
        <v>5907187951</v>
      </c>
      <c r="F143" s="874" t="s">
        <v>766</v>
      </c>
      <c r="G143" s="1145" t="s">
        <v>136</v>
      </c>
      <c r="H143" s="921" t="s">
        <v>137</v>
      </c>
      <c r="I143" s="1176">
        <v>1250</v>
      </c>
      <c r="J143" s="921">
        <v>0</v>
      </c>
      <c r="K143" s="921">
        <v>50</v>
      </c>
      <c r="L143" s="1151">
        <f t="shared" si="46"/>
        <v>25</v>
      </c>
      <c r="M143" s="848">
        <v>46009</v>
      </c>
      <c r="N143" s="848">
        <v>46006</v>
      </c>
      <c r="O143" s="838"/>
      <c r="P143" s="1152" t="s">
        <v>46</v>
      </c>
      <c r="Q143" s="838"/>
      <c r="R143" s="862">
        <v>45974</v>
      </c>
      <c r="S143" s="862" t="s">
        <v>58</v>
      </c>
      <c r="T143" s="862" t="s">
        <v>761</v>
      </c>
      <c r="U143" s="953" t="s">
        <v>762</v>
      </c>
      <c r="V143" s="1154" t="s">
        <v>79</v>
      </c>
      <c r="W143" s="1155">
        <v>1.9324</v>
      </c>
      <c r="X143" s="1156">
        <f>W143*I143</f>
        <v>2415.5</v>
      </c>
      <c r="Y143" s="838" t="s">
        <v>767</v>
      </c>
      <c r="Z143" s="1145" t="s">
        <v>355</v>
      </c>
      <c r="AA143" s="921" t="s">
        <v>53</v>
      </c>
      <c r="AB143" s="921" t="s">
        <v>54</v>
      </c>
      <c r="AC143" s="838"/>
      <c r="AD143" s="1159">
        <v>1250</v>
      </c>
      <c r="AE143" s="1159">
        <f t="shared" si="47"/>
        <v>0</v>
      </c>
      <c r="AF143" s="1160"/>
      <c r="AG143" s="838" t="s">
        <v>55</v>
      </c>
      <c r="AH143" s="838"/>
      <c r="AI143" s="838">
        <f t="shared" si="43"/>
        <v>1250</v>
      </c>
      <c r="AJ143" s="970"/>
      <c r="AL143" s="803">
        <f>I143</f>
        <v>1250</v>
      </c>
      <c r="AM143" s="970">
        <f t="shared" si="44"/>
        <v>1250</v>
      </c>
      <c r="AO143" s="970"/>
      <c r="AS143" s="838">
        <f>I143/25</f>
        <v>50</v>
      </c>
      <c r="BC143" s="1146"/>
      <c r="BD143" s="1146"/>
      <c r="BE143" s="1146"/>
      <c r="BF143" s="1146"/>
      <c r="BG143" s="1146"/>
      <c r="BL143" s="892"/>
      <c r="BM143" s="892"/>
      <c r="BN143" s="892"/>
      <c r="BO143" s="892"/>
      <c r="BP143" s="892"/>
      <c r="BQ143" s="892"/>
      <c r="BT143" s="803">
        <f t="shared" si="40"/>
        <v>50</v>
      </c>
      <c r="BU143" s="803">
        <f t="shared" si="41"/>
        <v>0</v>
      </c>
      <c r="BV143" s="291">
        <f t="shared" si="42"/>
        <v>750629</v>
      </c>
      <c r="BW143" s="892"/>
      <c r="BX143" s="892"/>
      <c r="BY143" s="892">
        <f t="shared" si="45"/>
        <v>109371</v>
      </c>
      <c r="BZ143" s="892"/>
      <c r="CA143" s="892"/>
      <c r="CF143" s="1166"/>
      <c r="CG143" s="1166"/>
      <c r="CH143" s="1166"/>
      <c r="CI143" s="1166"/>
      <c r="CJ143" s="1166"/>
      <c r="CK143" s="1166"/>
      <c r="CL143" s="1166"/>
      <c r="CM143" s="1166"/>
      <c r="CN143" s="1166"/>
      <c r="CO143" s="1166"/>
      <c r="CP143" s="1166"/>
      <c r="CQ143" s="1166"/>
      <c r="CR143" s="1166"/>
      <c r="CS143" s="1166"/>
      <c r="CT143" s="1166"/>
      <c r="CU143" s="1166"/>
      <c r="CV143" s="1166"/>
      <c r="CW143" s="1166"/>
      <c r="CX143" s="1166"/>
      <c r="CY143" s="1166"/>
      <c r="CZ143" s="1166"/>
      <c r="DA143" s="1166"/>
    </row>
    <row r="144" s="803" customFormat="1" ht="31" hidden="1" customHeight="1" spans="1:105">
      <c r="A144" s="1144">
        <v>45981</v>
      </c>
      <c r="B144" s="874" t="s">
        <v>768</v>
      </c>
      <c r="C144" s="1146" t="s">
        <v>769</v>
      </c>
      <c r="D144" s="874">
        <v>4500186266</v>
      </c>
      <c r="E144" s="838" t="s">
        <v>770</v>
      </c>
      <c r="F144" s="953" t="s">
        <v>771</v>
      </c>
      <c r="G144" s="1145" t="s">
        <v>375</v>
      </c>
      <c r="H144" s="1106" t="s">
        <v>376</v>
      </c>
      <c r="I144" s="921">
        <v>300</v>
      </c>
      <c r="J144" s="921">
        <v>0</v>
      </c>
      <c r="K144" s="921">
        <v>12</v>
      </c>
      <c r="L144" s="1151">
        <f t="shared" si="46"/>
        <v>25</v>
      </c>
      <c r="M144" s="848">
        <v>46014</v>
      </c>
      <c r="N144" s="848">
        <v>46013</v>
      </c>
      <c r="O144" s="838"/>
      <c r="P144" s="1152" t="s">
        <v>46</v>
      </c>
      <c r="Q144" s="838"/>
      <c r="R144" s="862">
        <v>45986</v>
      </c>
      <c r="S144" s="862" t="s">
        <v>58</v>
      </c>
      <c r="T144" s="862" t="s">
        <v>772</v>
      </c>
      <c r="U144" s="953" t="s">
        <v>773</v>
      </c>
      <c r="V144" s="1154" t="s">
        <v>541</v>
      </c>
      <c r="W144" s="1155">
        <v>2.7354</v>
      </c>
      <c r="X144" s="1156">
        <f>W144*I144</f>
        <v>820.62</v>
      </c>
      <c r="Y144" s="838" t="s">
        <v>774</v>
      </c>
      <c r="Z144" s="838" t="s">
        <v>375</v>
      </c>
      <c r="AA144" s="921" t="s">
        <v>53</v>
      </c>
      <c r="AB144" s="921" t="s">
        <v>54</v>
      </c>
      <c r="AC144" s="838"/>
      <c r="AD144" s="1159">
        <v>300</v>
      </c>
      <c r="AE144" s="1159">
        <f t="shared" si="47"/>
        <v>0</v>
      </c>
      <c r="AF144" s="1160"/>
      <c r="AG144" s="838" t="s">
        <v>55</v>
      </c>
      <c r="AH144" s="838"/>
      <c r="AI144" s="838">
        <f>I144*2</f>
        <v>600</v>
      </c>
      <c r="AJ144" s="970"/>
      <c r="AK144" s="970">
        <f>I144*2</f>
        <v>600</v>
      </c>
      <c r="AL144" s="970"/>
      <c r="AM144" s="803">
        <f>I144*2</f>
        <v>600</v>
      </c>
      <c r="AO144" s="970"/>
      <c r="BC144" s="1146"/>
      <c r="BD144" s="1146"/>
      <c r="BE144" s="1146"/>
      <c r="BF144" s="1146"/>
      <c r="BG144" s="1146"/>
      <c r="BH144" s="803">
        <f>I144</f>
        <v>300</v>
      </c>
      <c r="BI144" s="803">
        <f>I144</f>
        <v>300</v>
      </c>
      <c r="BJ144" s="803">
        <f>I144</f>
        <v>300</v>
      </c>
      <c r="BL144" s="892"/>
      <c r="BM144" s="892"/>
      <c r="BN144" s="892"/>
      <c r="BO144" s="892"/>
      <c r="BP144" s="892"/>
      <c r="BQ144" s="892"/>
      <c r="BT144" s="803">
        <f t="shared" si="40"/>
        <v>0</v>
      </c>
      <c r="BU144" s="803">
        <f t="shared" si="41"/>
        <v>0</v>
      </c>
      <c r="BV144" s="291">
        <f t="shared" si="42"/>
        <v>751229</v>
      </c>
      <c r="BW144" s="892"/>
      <c r="BX144" s="892"/>
      <c r="BY144" s="892">
        <f t="shared" si="45"/>
        <v>108771</v>
      </c>
      <c r="BZ144" s="892"/>
      <c r="CA144" s="892"/>
      <c r="CF144" s="1166"/>
      <c r="CG144" s="1166"/>
      <c r="CH144" s="1166"/>
      <c r="CI144" s="1166"/>
      <c r="CJ144" s="1166"/>
      <c r="CK144" s="1166"/>
      <c r="CL144" s="1166"/>
      <c r="CM144" s="1166"/>
      <c r="CN144" s="1166"/>
      <c r="CO144" s="1166"/>
      <c r="CP144" s="1166"/>
      <c r="CQ144" s="1166"/>
      <c r="CR144" s="1166"/>
      <c r="CS144" s="1166"/>
      <c r="CT144" s="1166"/>
      <c r="CU144" s="1166"/>
      <c r="CV144" s="1166"/>
      <c r="CW144" s="1166"/>
      <c r="CX144" s="1166"/>
      <c r="CY144" s="1166"/>
      <c r="CZ144" s="1166"/>
      <c r="DA144" s="1166"/>
    </row>
    <row r="145" s="803" customFormat="1" ht="31" hidden="1" customHeight="1" spans="1:105">
      <c r="A145" s="1144">
        <v>45968</v>
      </c>
      <c r="B145" s="874" t="s">
        <v>775</v>
      </c>
      <c r="C145" s="1146" t="s">
        <v>41</v>
      </c>
      <c r="D145" s="874">
        <v>4500184791</v>
      </c>
      <c r="E145" s="838" t="s">
        <v>776</v>
      </c>
      <c r="F145" s="874" t="s">
        <v>777</v>
      </c>
      <c r="G145" s="1145" t="s">
        <v>187</v>
      </c>
      <c r="H145" s="921" t="s">
        <v>484</v>
      </c>
      <c r="I145" s="921">
        <v>2750</v>
      </c>
      <c r="J145" s="921">
        <v>0</v>
      </c>
      <c r="K145" s="921">
        <v>25</v>
      </c>
      <c r="L145" s="1151">
        <f t="shared" si="46"/>
        <v>110</v>
      </c>
      <c r="M145" s="848">
        <v>46015</v>
      </c>
      <c r="N145" s="848">
        <v>46011</v>
      </c>
      <c r="O145" s="838"/>
      <c r="P145" s="1152" t="s">
        <v>46</v>
      </c>
      <c r="Q145" s="838"/>
      <c r="R145" s="862">
        <v>45973</v>
      </c>
      <c r="S145" s="862" t="s">
        <v>48</v>
      </c>
      <c r="T145" s="862" t="s">
        <v>778</v>
      </c>
      <c r="U145" s="954" t="s">
        <v>779</v>
      </c>
      <c r="V145" s="1154" t="s">
        <v>653</v>
      </c>
      <c r="W145" s="1155">
        <v>1.933</v>
      </c>
      <c r="X145" s="1156">
        <f>I145*W145</f>
        <v>5315.75</v>
      </c>
      <c r="Y145" s="838" t="s">
        <v>780</v>
      </c>
      <c r="Z145" s="1145" t="s">
        <v>489</v>
      </c>
      <c r="AA145" s="921" t="s">
        <v>53</v>
      </c>
      <c r="AB145" s="921" t="s">
        <v>54</v>
      </c>
      <c r="AC145" s="838"/>
      <c r="AD145" s="1159">
        <v>2750</v>
      </c>
      <c r="AE145" s="1159">
        <f t="shared" si="47"/>
        <v>0</v>
      </c>
      <c r="AF145" s="1160"/>
      <c r="AG145" s="838" t="s">
        <v>55</v>
      </c>
      <c r="AH145" s="838"/>
      <c r="AI145" s="838">
        <f t="shared" ref="AI145:AI163" si="48">I145</f>
        <v>2750</v>
      </c>
      <c r="AJ145" s="970"/>
      <c r="AL145" s="921">
        <f>I145</f>
        <v>2750</v>
      </c>
      <c r="AM145" s="803">
        <f t="shared" ref="AM145:AM150" si="49">I145</f>
        <v>2750</v>
      </c>
      <c r="AS145" s="803">
        <f>L145</f>
        <v>110</v>
      </c>
      <c r="BC145" s="1146"/>
      <c r="BD145" s="1146"/>
      <c r="BE145" s="1146"/>
      <c r="BF145" s="1146"/>
      <c r="BG145" s="1146"/>
      <c r="BL145" s="892"/>
      <c r="BM145" s="892"/>
      <c r="BN145" s="892"/>
      <c r="BO145" s="892"/>
      <c r="BP145" s="892"/>
      <c r="BQ145" s="892"/>
      <c r="BT145" s="803">
        <f t="shared" si="40"/>
        <v>110</v>
      </c>
      <c r="BU145" s="803">
        <f t="shared" si="41"/>
        <v>0</v>
      </c>
      <c r="BV145" s="291">
        <f t="shared" si="42"/>
        <v>753979</v>
      </c>
      <c r="BW145" s="892"/>
      <c r="BX145" s="892"/>
      <c r="BY145" s="892">
        <f t="shared" si="45"/>
        <v>106021</v>
      </c>
      <c r="BZ145" s="892"/>
      <c r="CA145" s="892"/>
      <c r="CF145" s="1166"/>
      <c r="CG145" s="1166"/>
      <c r="CH145" s="1166"/>
      <c r="CI145" s="1166"/>
      <c r="CJ145" s="1166"/>
      <c r="CK145" s="1166"/>
      <c r="CL145" s="1166"/>
      <c r="CM145" s="1166"/>
      <c r="CN145" s="1166"/>
      <c r="CO145" s="1166"/>
      <c r="CP145" s="1166"/>
      <c r="CQ145" s="1166"/>
      <c r="CR145" s="1166"/>
      <c r="CS145" s="1166"/>
      <c r="CT145" s="1166"/>
      <c r="CU145" s="1166"/>
      <c r="CV145" s="1166"/>
      <c r="CW145" s="1166"/>
      <c r="CX145" s="1166"/>
      <c r="CY145" s="1166"/>
      <c r="CZ145" s="1166"/>
      <c r="DA145" s="1166"/>
    </row>
    <row r="146" s="803" customFormat="1" ht="31" hidden="1" customHeight="1" spans="1:105">
      <c r="A146" s="1144">
        <v>45912</v>
      </c>
      <c r="B146" s="874" t="s">
        <v>781</v>
      </c>
      <c r="C146" s="1146" t="s">
        <v>648</v>
      </c>
      <c r="D146" s="874">
        <v>4500179365</v>
      </c>
      <c r="E146" s="838" t="s">
        <v>782</v>
      </c>
      <c r="F146" s="953" t="s">
        <v>783</v>
      </c>
      <c r="G146" s="1145" t="s">
        <v>136</v>
      </c>
      <c r="H146" s="921" t="s">
        <v>137</v>
      </c>
      <c r="I146" s="921">
        <v>5000</v>
      </c>
      <c r="J146" s="921">
        <v>0</v>
      </c>
      <c r="K146" s="921">
        <v>50</v>
      </c>
      <c r="L146" s="1151">
        <f t="shared" si="46"/>
        <v>100</v>
      </c>
      <c r="M146" s="848">
        <v>46016</v>
      </c>
      <c r="N146" s="848">
        <v>46013</v>
      </c>
      <c r="O146" s="838"/>
      <c r="P146" s="1152" t="s">
        <v>46</v>
      </c>
      <c r="Q146" s="838"/>
      <c r="R146" s="862">
        <v>45916</v>
      </c>
      <c r="S146" s="952" t="s">
        <v>58</v>
      </c>
      <c r="T146" s="862" t="s">
        <v>651</v>
      </c>
      <c r="U146" s="953" t="s">
        <v>784</v>
      </c>
      <c r="V146" s="1154" t="s">
        <v>653</v>
      </c>
      <c r="W146" s="1155">
        <v>2.35</v>
      </c>
      <c r="X146" s="1156">
        <f>W146*I146</f>
        <v>11750</v>
      </c>
      <c r="Y146" s="838" t="s">
        <v>785</v>
      </c>
      <c r="Z146" s="1145" t="s">
        <v>355</v>
      </c>
      <c r="AA146" s="921" t="s">
        <v>53</v>
      </c>
      <c r="AB146" s="921" t="s">
        <v>54</v>
      </c>
      <c r="AC146" s="838"/>
      <c r="AD146" s="1159">
        <v>5000</v>
      </c>
      <c r="AE146" s="1159">
        <f t="shared" si="47"/>
        <v>0</v>
      </c>
      <c r="AF146" s="1160"/>
      <c r="AG146" s="838" t="s">
        <v>55</v>
      </c>
      <c r="AH146" s="838"/>
      <c r="AI146" s="838">
        <f t="shared" si="48"/>
        <v>5000</v>
      </c>
      <c r="AJ146" s="970"/>
      <c r="AL146" s="970">
        <f>I146</f>
        <v>5000</v>
      </c>
      <c r="AM146" s="970">
        <f t="shared" si="49"/>
        <v>5000</v>
      </c>
      <c r="AO146" s="970"/>
      <c r="AS146" s="803">
        <f>L146*2</f>
        <v>200</v>
      </c>
      <c r="BC146" s="1146"/>
      <c r="BD146" s="1146"/>
      <c r="BE146" s="1146"/>
      <c r="BF146" s="1146"/>
      <c r="BG146" s="1146"/>
      <c r="BL146" s="892"/>
      <c r="BM146" s="892"/>
      <c r="BN146" s="892"/>
      <c r="BO146" s="892"/>
      <c r="BP146" s="892"/>
      <c r="BQ146" s="892"/>
      <c r="BT146" s="803">
        <f t="shared" si="40"/>
        <v>200</v>
      </c>
      <c r="BU146" s="803">
        <f t="shared" si="41"/>
        <v>0</v>
      </c>
      <c r="BV146" s="291">
        <f t="shared" si="42"/>
        <v>758979</v>
      </c>
      <c r="BW146" s="892"/>
      <c r="BX146" s="892"/>
      <c r="BY146" s="892">
        <f t="shared" si="45"/>
        <v>101021</v>
      </c>
      <c r="BZ146" s="892"/>
      <c r="CA146" s="892"/>
      <c r="CF146" s="1166"/>
      <c r="CG146" s="1166"/>
      <c r="CH146" s="1166"/>
      <c r="CI146" s="1166"/>
      <c r="CJ146" s="1166"/>
      <c r="CK146" s="1166"/>
      <c r="CL146" s="1166"/>
      <c r="CM146" s="1166"/>
      <c r="CN146" s="1166"/>
      <c r="CO146" s="1166"/>
      <c r="CP146" s="1166"/>
      <c r="CQ146" s="1166"/>
      <c r="CR146" s="1166"/>
      <c r="CS146" s="1166"/>
      <c r="CT146" s="1166"/>
      <c r="CU146" s="1166"/>
      <c r="CV146" s="1166"/>
      <c r="CW146" s="1166"/>
      <c r="CX146" s="1166"/>
      <c r="CY146" s="1166"/>
      <c r="CZ146" s="1166"/>
      <c r="DA146" s="1166"/>
    </row>
    <row r="147" s="803" customFormat="1" ht="31" hidden="1" customHeight="1" spans="1:105">
      <c r="A147" s="1144">
        <v>45968</v>
      </c>
      <c r="B147" s="874" t="s">
        <v>786</v>
      </c>
      <c r="C147" s="1146" t="s">
        <v>84</v>
      </c>
      <c r="D147" s="874" t="s">
        <v>787</v>
      </c>
      <c r="E147" s="838"/>
      <c r="F147" s="874" t="s">
        <v>788</v>
      </c>
      <c r="G147" s="1145" t="s">
        <v>142</v>
      </c>
      <c r="H147" s="911" t="s">
        <v>137</v>
      </c>
      <c r="I147" s="1176">
        <v>7008</v>
      </c>
      <c r="J147" s="921">
        <v>0</v>
      </c>
      <c r="K147" s="921">
        <v>24</v>
      </c>
      <c r="L147" s="1151">
        <f t="shared" si="46"/>
        <v>292</v>
      </c>
      <c r="M147" s="939">
        <v>46007</v>
      </c>
      <c r="N147" s="939">
        <v>46003</v>
      </c>
      <c r="O147" s="838" t="s">
        <v>789</v>
      </c>
      <c r="P147" s="1152"/>
      <c r="Q147" s="838" t="s">
        <v>790</v>
      </c>
      <c r="R147" s="862"/>
      <c r="S147" s="862"/>
      <c r="T147" s="862" t="s">
        <v>791</v>
      </c>
      <c r="U147" s="953" t="s">
        <v>792</v>
      </c>
      <c r="V147" s="1154" t="s">
        <v>793</v>
      </c>
      <c r="W147" s="1155">
        <v>1.8</v>
      </c>
      <c r="X147" s="1156">
        <f>W147*I147</f>
        <v>12614.4</v>
      </c>
      <c r="Y147" s="838" t="s">
        <v>751</v>
      </c>
      <c r="Z147" s="1106" t="s">
        <v>142</v>
      </c>
      <c r="AA147" s="921" t="s">
        <v>53</v>
      </c>
      <c r="AB147" s="921" t="s">
        <v>54</v>
      </c>
      <c r="AC147" s="838"/>
      <c r="AD147" s="1159">
        <v>7008</v>
      </c>
      <c r="AE147" s="1159">
        <f t="shared" si="47"/>
        <v>0</v>
      </c>
      <c r="AF147" s="1164">
        <v>46001</v>
      </c>
      <c r="AG147" s="838" t="s">
        <v>55</v>
      </c>
      <c r="AH147" s="838"/>
      <c r="AI147" s="838">
        <f t="shared" si="48"/>
        <v>7008</v>
      </c>
      <c r="AJ147" s="970">
        <f>I147</f>
        <v>7008</v>
      </c>
      <c r="AM147" s="803">
        <f t="shared" si="49"/>
        <v>7008</v>
      </c>
      <c r="AS147" s="838"/>
      <c r="BC147" s="1146"/>
      <c r="BD147" s="1146"/>
      <c r="BE147" s="1146"/>
      <c r="BF147" s="1146"/>
      <c r="BG147" s="1146"/>
      <c r="BL147" s="892"/>
      <c r="BM147" s="892"/>
      <c r="BN147" s="892"/>
      <c r="BO147" s="892"/>
      <c r="BP147" s="892"/>
      <c r="BQ147" s="892"/>
      <c r="BT147" s="803">
        <f t="shared" si="40"/>
        <v>0</v>
      </c>
      <c r="BU147" s="803">
        <f t="shared" si="41"/>
        <v>0</v>
      </c>
      <c r="BV147" s="291">
        <f t="shared" si="42"/>
        <v>765987</v>
      </c>
      <c r="BW147" s="892"/>
      <c r="BX147" s="892"/>
      <c r="BY147" s="892">
        <f t="shared" si="45"/>
        <v>94013</v>
      </c>
      <c r="BZ147" s="892"/>
      <c r="CA147" s="892"/>
      <c r="CF147" s="1166"/>
      <c r="CG147" s="1166"/>
      <c r="CH147" s="1166"/>
      <c r="CI147" s="1166"/>
      <c r="CJ147" s="1166"/>
      <c r="CK147" s="1166"/>
      <c r="CL147" s="1166"/>
      <c r="CM147" s="1166"/>
      <c r="CN147" s="1166"/>
      <c r="CO147" s="1166"/>
      <c r="CP147" s="1166"/>
      <c r="CQ147" s="1166"/>
      <c r="CR147" s="1166"/>
      <c r="CS147" s="1166"/>
      <c r="CT147" s="1166"/>
      <c r="CU147" s="1166"/>
      <c r="CV147" s="1166"/>
      <c r="CW147" s="1166"/>
      <c r="CX147" s="1166"/>
      <c r="CY147" s="1166"/>
      <c r="CZ147" s="1166"/>
      <c r="DA147" s="1166"/>
    </row>
    <row r="148" s="802" customFormat="1" ht="31" hidden="1" customHeight="1" spans="1:105">
      <c r="A148" s="997">
        <v>45978</v>
      </c>
      <c r="B148" s="871" t="s">
        <v>794</v>
      </c>
      <c r="C148" s="998" t="s">
        <v>84</v>
      </c>
      <c r="D148" s="871" t="s">
        <v>795</v>
      </c>
      <c r="E148" s="830"/>
      <c r="F148" s="1143"/>
      <c r="G148" s="989" t="s">
        <v>142</v>
      </c>
      <c r="H148" s="916"/>
      <c r="I148" s="916">
        <v>300</v>
      </c>
      <c r="J148" s="916">
        <v>0</v>
      </c>
      <c r="K148" s="916">
        <v>24</v>
      </c>
      <c r="L148" s="1011">
        <f t="shared" si="46"/>
        <v>12.5</v>
      </c>
      <c r="M148" s="843">
        <v>46017</v>
      </c>
      <c r="N148" s="843">
        <v>46013</v>
      </c>
      <c r="O148" s="830"/>
      <c r="P148" s="1013"/>
      <c r="Q148" s="830"/>
      <c r="R148" s="855"/>
      <c r="S148" s="855"/>
      <c r="T148" s="855"/>
      <c r="U148" s="856" t="s">
        <v>796</v>
      </c>
      <c r="V148" s="1012" t="s">
        <v>797</v>
      </c>
      <c r="W148" s="1032">
        <v>1.08</v>
      </c>
      <c r="X148" s="1033">
        <f>W148*I148</f>
        <v>324</v>
      </c>
      <c r="Y148" s="830"/>
      <c r="Z148" s="989" t="s">
        <v>142</v>
      </c>
      <c r="AA148" s="916" t="s">
        <v>53</v>
      </c>
      <c r="AB148" s="916" t="s">
        <v>54</v>
      </c>
      <c r="AC148" s="830"/>
      <c r="AD148" s="1041">
        <v>300</v>
      </c>
      <c r="AE148" s="1041">
        <f t="shared" si="47"/>
        <v>0</v>
      </c>
      <c r="AF148" s="1042"/>
      <c r="AG148" s="830" t="s">
        <v>58</v>
      </c>
      <c r="AH148" s="830"/>
      <c r="AI148" s="830">
        <f t="shared" si="48"/>
        <v>300</v>
      </c>
      <c r="AJ148" s="808">
        <f>I148</f>
        <v>300</v>
      </c>
      <c r="AL148" s="808"/>
      <c r="AM148" s="808">
        <f t="shared" si="49"/>
        <v>300</v>
      </c>
      <c r="AO148" s="808"/>
      <c r="BC148" s="998"/>
      <c r="BD148" s="998"/>
      <c r="BE148" s="998"/>
      <c r="BF148" s="998"/>
      <c r="BG148" s="998"/>
      <c r="BL148" s="888"/>
      <c r="BM148" s="888"/>
      <c r="BN148" s="888"/>
      <c r="BO148" s="888"/>
      <c r="BP148" s="888"/>
      <c r="BQ148" s="888"/>
      <c r="BT148" s="802">
        <f t="shared" si="40"/>
        <v>0</v>
      </c>
      <c r="BU148" s="802">
        <f t="shared" si="41"/>
        <v>0</v>
      </c>
      <c r="BV148" s="291">
        <f t="shared" si="42"/>
        <v>766287</v>
      </c>
      <c r="BW148" s="888"/>
      <c r="BX148" s="888"/>
      <c r="BY148" s="888">
        <f t="shared" si="45"/>
        <v>93713</v>
      </c>
      <c r="BZ148" s="888"/>
      <c r="CA148" s="888"/>
      <c r="CF148" s="1056"/>
      <c r="CG148" s="1056"/>
      <c r="CH148" s="1056"/>
      <c r="CI148" s="1056"/>
      <c r="CJ148" s="1056"/>
      <c r="CK148" s="1056"/>
      <c r="CL148" s="1056"/>
      <c r="CM148" s="1056"/>
      <c r="CN148" s="1056"/>
      <c r="CO148" s="1056"/>
      <c r="CP148" s="1056"/>
      <c r="CQ148" s="1056"/>
      <c r="CR148" s="1056"/>
      <c r="CS148" s="1056"/>
      <c r="CT148" s="1056"/>
      <c r="CU148" s="1056"/>
      <c r="CV148" s="1056"/>
      <c r="CW148" s="1056"/>
      <c r="CX148" s="1056"/>
      <c r="CY148" s="1056"/>
      <c r="CZ148" s="1056"/>
      <c r="DA148" s="1056"/>
    </row>
    <row r="149" s="802" customFormat="1" ht="31" hidden="1" customHeight="1" spans="1:105">
      <c r="A149" s="997">
        <v>45968</v>
      </c>
      <c r="B149" s="871" t="s">
        <v>786</v>
      </c>
      <c r="C149" s="998" t="s">
        <v>84</v>
      </c>
      <c r="D149" s="871" t="s">
        <v>787</v>
      </c>
      <c r="E149" s="830"/>
      <c r="F149" s="871" t="s">
        <v>798</v>
      </c>
      <c r="G149" s="989" t="s">
        <v>142</v>
      </c>
      <c r="H149" s="916" t="s">
        <v>137</v>
      </c>
      <c r="I149" s="1153">
        <v>25032</v>
      </c>
      <c r="J149" s="916">
        <v>0</v>
      </c>
      <c r="K149" s="916">
        <v>24</v>
      </c>
      <c r="L149" s="1011">
        <f t="shared" si="46"/>
        <v>1043</v>
      </c>
      <c r="M149" s="843">
        <v>46017</v>
      </c>
      <c r="N149" s="843">
        <v>46013</v>
      </c>
      <c r="O149" s="830"/>
      <c r="P149" s="1013"/>
      <c r="Q149" s="830" t="s">
        <v>799</v>
      </c>
      <c r="R149" s="855"/>
      <c r="S149" s="855"/>
      <c r="T149" s="855" t="s">
        <v>791</v>
      </c>
      <c r="U149" s="856" t="s">
        <v>792</v>
      </c>
      <c r="V149" s="1012" t="s">
        <v>793</v>
      </c>
      <c r="W149" s="1032">
        <v>1.8</v>
      </c>
      <c r="X149" s="1033">
        <f>W149*I149</f>
        <v>45057.6</v>
      </c>
      <c r="Y149" s="830"/>
      <c r="Z149" s="989" t="s">
        <v>142</v>
      </c>
      <c r="AA149" s="916" t="s">
        <v>53</v>
      </c>
      <c r="AB149" s="916" t="s">
        <v>54</v>
      </c>
      <c r="AC149" s="830"/>
      <c r="AD149" s="1041">
        <f>12600+12432</f>
        <v>25032</v>
      </c>
      <c r="AE149" s="1041">
        <f t="shared" si="47"/>
        <v>0</v>
      </c>
      <c r="AF149" s="1042"/>
      <c r="AG149" s="830" t="s">
        <v>55</v>
      </c>
      <c r="AH149" s="830"/>
      <c r="AI149" s="830">
        <f t="shared" si="48"/>
        <v>25032</v>
      </c>
      <c r="AJ149" s="808">
        <f>I149</f>
        <v>25032</v>
      </c>
      <c r="AM149" s="808">
        <f t="shared" si="49"/>
        <v>25032</v>
      </c>
      <c r="AS149" s="830"/>
      <c r="BC149" s="998"/>
      <c r="BD149" s="998"/>
      <c r="BE149" s="998"/>
      <c r="BF149" s="998"/>
      <c r="BG149" s="998"/>
      <c r="BL149" s="888"/>
      <c r="BM149" s="888"/>
      <c r="BN149" s="888"/>
      <c r="BO149" s="888"/>
      <c r="BP149" s="888"/>
      <c r="BQ149" s="888"/>
      <c r="BT149" s="802">
        <f t="shared" si="40"/>
        <v>0</v>
      </c>
      <c r="BU149" s="802">
        <f t="shared" si="41"/>
        <v>0</v>
      </c>
      <c r="BV149" s="291">
        <f t="shared" si="42"/>
        <v>791319</v>
      </c>
      <c r="BW149" s="888"/>
      <c r="BX149" s="888"/>
      <c r="BY149" s="888">
        <f t="shared" si="45"/>
        <v>68681</v>
      </c>
      <c r="BZ149" s="888"/>
      <c r="CA149" s="888"/>
      <c r="CF149" s="1056"/>
      <c r="CG149" s="1056"/>
      <c r="CH149" s="1056"/>
      <c r="CI149" s="1056"/>
      <c r="CJ149" s="1056"/>
      <c r="CK149" s="1056"/>
      <c r="CL149" s="1056"/>
      <c r="CM149" s="1056"/>
      <c r="CN149" s="1056"/>
      <c r="CO149" s="1056"/>
      <c r="CP149" s="1056"/>
      <c r="CQ149" s="1056"/>
      <c r="CR149" s="1056"/>
      <c r="CS149" s="1056"/>
      <c r="CT149" s="1056"/>
      <c r="CU149" s="1056"/>
      <c r="CV149" s="1056"/>
      <c r="CW149" s="1056"/>
      <c r="CX149" s="1056"/>
      <c r="CY149" s="1056"/>
      <c r="CZ149" s="1056"/>
      <c r="DA149" s="1056"/>
    </row>
    <row r="150" s="802" customFormat="1" ht="31" hidden="1" customHeight="1" spans="1:105">
      <c r="A150" s="997">
        <v>46002</v>
      </c>
      <c r="B150" s="871"/>
      <c r="C150" s="998"/>
      <c r="D150" s="871" t="s">
        <v>800</v>
      </c>
      <c r="E150" s="830"/>
      <c r="F150" s="871" t="s">
        <v>801</v>
      </c>
      <c r="G150" s="989" t="s">
        <v>142</v>
      </c>
      <c r="H150" s="916" t="s">
        <v>137</v>
      </c>
      <c r="I150" s="916">
        <v>168</v>
      </c>
      <c r="J150" s="916">
        <v>0</v>
      </c>
      <c r="K150" s="916">
        <v>24</v>
      </c>
      <c r="L150" s="1011">
        <f t="shared" si="46"/>
        <v>7</v>
      </c>
      <c r="M150" s="843">
        <v>46017</v>
      </c>
      <c r="N150" s="843">
        <v>46013</v>
      </c>
      <c r="O150" s="830"/>
      <c r="P150" s="1013"/>
      <c r="Q150" s="830"/>
      <c r="R150" s="855"/>
      <c r="S150" s="855"/>
      <c r="T150" s="855"/>
      <c r="U150" s="856" t="s">
        <v>802</v>
      </c>
      <c r="V150" s="1012"/>
      <c r="W150" s="1032"/>
      <c r="X150" s="1033"/>
      <c r="Y150" s="830"/>
      <c r="Z150" s="989" t="s">
        <v>142</v>
      </c>
      <c r="AA150" s="916" t="s">
        <v>53</v>
      </c>
      <c r="AB150" s="916" t="s">
        <v>54</v>
      </c>
      <c r="AC150" s="830"/>
      <c r="AD150" s="1041">
        <v>168</v>
      </c>
      <c r="AE150" s="1159">
        <f t="shared" si="47"/>
        <v>0</v>
      </c>
      <c r="AF150" s="1042"/>
      <c r="AG150" s="830" t="s">
        <v>58</v>
      </c>
      <c r="AH150" s="830"/>
      <c r="AI150" s="830">
        <f t="shared" si="48"/>
        <v>168</v>
      </c>
      <c r="AJ150" s="808">
        <f>I150</f>
        <v>168</v>
      </c>
      <c r="AM150" s="808">
        <f t="shared" si="49"/>
        <v>168</v>
      </c>
      <c r="AS150" s="830"/>
      <c r="BC150" s="998"/>
      <c r="BD150" s="998"/>
      <c r="BE150" s="998"/>
      <c r="BF150" s="998"/>
      <c r="BG150" s="998"/>
      <c r="BL150" s="888"/>
      <c r="BM150" s="888"/>
      <c r="BN150" s="888"/>
      <c r="BO150" s="888"/>
      <c r="BP150" s="888"/>
      <c r="BQ150" s="888"/>
      <c r="BT150" s="802">
        <f t="shared" si="40"/>
        <v>0</v>
      </c>
      <c r="BU150" s="802">
        <f t="shared" si="41"/>
        <v>0</v>
      </c>
      <c r="BV150" s="291">
        <f t="shared" si="42"/>
        <v>791487</v>
      </c>
      <c r="BW150" s="888"/>
      <c r="BX150" s="888"/>
      <c r="BY150" s="888">
        <f t="shared" si="45"/>
        <v>68513</v>
      </c>
      <c r="BZ150" s="888"/>
      <c r="CA150" s="888"/>
      <c r="CF150" s="1056"/>
      <c r="CG150" s="1056"/>
      <c r="CH150" s="1056"/>
      <c r="CI150" s="1056"/>
      <c r="CJ150" s="1056"/>
      <c r="CK150" s="1056"/>
      <c r="CL150" s="1056"/>
      <c r="CM150" s="1056"/>
      <c r="CN150" s="1056"/>
      <c r="CO150" s="1056"/>
      <c r="CP150" s="1056"/>
      <c r="CQ150" s="1056"/>
      <c r="CR150" s="1056"/>
      <c r="CS150" s="1056"/>
      <c r="CT150" s="1056"/>
      <c r="CU150" s="1056"/>
      <c r="CV150" s="1056"/>
      <c r="CW150" s="1056"/>
      <c r="CX150" s="1056"/>
      <c r="CY150" s="1056"/>
      <c r="CZ150" s="1056"/>
      <c r="DA150" s="1056"/>
    </row>
    <row r="151" s="802" customFormat="1" ht="31" hidden="1" customHeight="1" spans="1:105">
      <c r="A151" s="997">
        <v>46002</v>
      </c>
      <c r="B151" s="871"/>
      <c r="C151" s="998"/>
      <c r="D151" s="871" t="s">
        <v>800</v>
      </c>
      <c r="E151" s="830"/>
      <c r="F151" s="871" t="s">
        <v>803</v>
      </c>
      <c r="G151" s="989" t="s">
        <v>142</v>
      </c>
      <c r="H151" s="916" t="s">
        <v>440</v>
      </c>
      <c r="I151" s="916">
        <v>17</v>
      </c>
      <c r="J151" s="916">
        <v>0</v>
      </c>
      <c r="K151" s="916">
        <v>24</v>
      </c>
      <c r="L151" s="1011">
        <f t="shared" si="46"/>
        <v>0.708333333333333</v>
      </c>
      <c r="M151" s="843">
        <v>46017</v>
      </c>
      <c r="N151" s="843">
        <v>46013</v>
      </c>
      <c r="O151" s="830"/>
      <c r="P151" s="1013"/>
      <c r="Q151" s="830"/>
      <c r="R151" s="855"/>
      <c r="S151" s="855"/>
      <c r="T151" s="855"/>
      <c r="U151" s="856" t="s">
        <v>804</v>
      </c>
      <c r="V151" s="1012"/>
      <c r="W151" s="1032"/>
      <c r="X151" s="1033"/>
      <c r="Y151" s="830"/>
      <c r="Z151" s="989"/>
      <c r="AA151" s="916"/>
      <c r="AB151" s="916"/>
      <c r="AC151" s="830"/>
      <c r="AD151" s="1041">
        <v>17</v>
      </c>
      <c r="AE151" s="1159">
        <f t="shared" si="47"/>
        <v>0</v>
      </c>
      <c r="AF151" s="1042"/>
      <c r="AG151" s="830" t="s">
        <v>58</v>
      </c>
      <c r="AH151" s="830"/>
      <c r="AI151" s="830">
        <f t="shared" si="48"/>
        <v>17</v>
      </c>
      <c r="AJ151" s="808"/>
      <c r="AM151" s="808"/>
      <c r="AS151" s="830"/>
      <c r="BC151" s="998"/>
      <c r="BD151" s="998"/>
      <c r="BE151" s="998"/>
      <c r="BF151" s="998"/>
      <c r="BG151" s="998"/>
      <c r="BL151" s="888"/>
      <c r="BM151" s="888"/>
      <c r="BN151" s="888"/>
      <c r="BO151" s="888"/>
      <c r="BP151" s="888"/>
      <c r="BQ151" s="888"/>
      <c r="BT151" s="802">
        <f t="shared" si="40"/>
        <v>0</v>
      </c>
      <c r="BU151" s="802">
        <f t="shared" si="41"/>
        <v>0</v>
      </c>
      <c r="BV151" s="291">
        <f t="shared" si="42"/>
        <v>791504</v>
      </c>
      <c r="BW151" s="888"/>
      <c r="BX151" s="888"/>
      <c r="BY151" s="888">
        <f t="shared" si="45"/>
        <v>68496</v>
      </c>
      <c r="BZ151" s="888"/>
      <c r="CA151" s="888"/>
      <c r="CF151" s="1056"/>
      <c r="CG151" s="1056"/>
      <c r="CH151" s="1056"/>
      <c r="CI151" s="1056"/>
      <c r="CJ151" s="1056"/>
      <c r="CK151" s="1056"/>
      <c r="CL151" s="1056"/>
      <c r="CM151" s="1056"/>
      <c r="CN151" s="1056"/>
      <c r="CO151" s="1056"/>
      <c r="CP151" s="1056"/>
      <c r="CQ151" s="1056"/>
      <c r="CR151" s="1056"/>
      <c r="CS151" s="1056"/>
      <c r="CT151" s="1056"/>
      <c r="CU151" s="1056"/>
      <c r="CV151" s="1056"/>
      <c r="CW151" s="1056"/>
      <c r="CX151" s="1056"/>
      <c r="CY151" s="1056"/>
      <c r="CZ151" s="1056"/>
      <c r="DA151" s="1056"/>
    </row>
    <row r="152" s="802" customFormat="1" ht="31" hidden="1" customHeight="1" spans="1:105">
      <c r="A152" s="997">
        <v>45971</v>
      </c>
      <c r="B152" s="871" t="s">
        <v>805</v>
      </c>
      <c r="C152" s="998" t="s">
        <v>806</v>
      </c>
      <c r="D152" s="871">
        <v>4500184934</v>
      </c>
      <c r="E152" s="1170">
        <v>84714</v>
      </c>
      <c r="F152" s="871" t="s">
        <v>807</v>
      </c>
      <c r="G152" s="989" t="s">
        <v>390</v>
      </c>
      <c r="H152" s="916" t="s">
        <v>391</v>
      </c>
      <c r="I152" s="916">
        <v>3000</v>
      </c>
      <c r="J152" s="916">
        <v>0</v>
      </c>
      <c r="K152" s="916">
        <v>30</v>
      </c>
      <c r="L152" s="1011">
        <f t="shared" si="46"/>
        <v>100</v>
      </c>
      <c r="M152" s="843">
        <v>46010</v>
      </c>
      <c r="N152" s="843">
        <v>46006</v>
      </c>
      <c r="O152" s="830"/>
      <c r="P152" s="1013" t="s">
        <v>46</v>
      </c>
      <c r="Q152" s="830"/>
      <c r="R152" s="855">
        <v>45978</v>
      </c>
      <c r="S152" s="855" t="s">
        <v>58</v>
      </c>
      <c r="T152" s="855" t="s">
        <v>808</v>
      </c>
      <c r="U152" s="1177" t="s">
        <v>809</v>
      </c>
      <c r="V152" s="1012" t="s">
        <v>354</v>
      </c>
      <c r="W152" s="1032">
        <v>64.604</v>
      </c>
      <c r="X152" s="1033">
        <f>L152*W152</f>
        <v>6460.4</v>
      </c>
      <c r="Y152" s="830"/>
      <c r="Z152" s="989" t="s">
        <v>397</v>
      </c>
      <c r="AA152" s="916" t="s">
        <v>53</v>
      </c>
      <c r="AB152" s="916" t="s">
        <v>54</v>
      </c>
      <c r="AC152" s="830"/>
      <c r="AD152" s="1041">
        <v>3000</v>
      </c>
      <c r="AE152" s="1041">
        <f t="shared" si="47"/>
        <v>0</v>
      </c>
      <c r="AF152" s="1042"/>
      <c r="AG152" s="830" t="s">
        <v>55</v>
      </c>
      <c r="AH152" s="830"/>
      <c r="AI152" s="830">
        <f t="shared" si="48"/>
        <v>3000</v>
      </c>
      <c r="AJ152" s="808">
        <f t="shared" ref="AJ152:AJ157" si="50">I152</f>
        <v>3000</v>
      </c>
      <c r="AM152" s="802">
        <f t="shared" ref="AM152:AM163" si="51">I152</f>
        <v>3000</v>
      </c>
      <c r="AS152" s="830"/>
      <c r="BC152" s="998"/>
      <c r="BD152" s="998"/>
      <c r="BE152" s="998"/>
      <c r="BF152" s="998"/>
      <c r="BG152" s="998">
        <f>L152</f>
        <v>100</v>
      </c>
      <c r="BL152" s="888"/>
      <c r="BM152" s="888"/>
      <c r="BN152" s="888"/>
      <c r="BO152" s="888"/>
      <c r="BP152" s="888"/>
      <c r="BQ152" s="888"/>
      <c r="BT152" s="802">
        <f t="shared" si="40"/>
        <v>0</v>
      </c>
      <c r="BU152" s="802">
        <f t="shared" si="41"/>
        <v>100</v>
      </c>
      <c r="BV152" s="291">
        <f t="shared" si="42"/>
        <v>794504</v>
      </c>
      <c r="BW152" s="888"/>
      <c r="BX152" s="888"/>
      <c r="BY152" s="888">
        <f t="shared" si="45"/>
        <v>65496</v>
      </c>
      <c r="BZ152" s="888"/>
      <c r="CA152" s="888"/>
      <c r="CF152" s="1056"/>
      <c r="CG152" s="1056"/>
      <c r="CH152" s="1056"/>
      <c r="CI152" s="1056"/>
      <c r="CJ152" s="1056"/>
      <c r="CK152" s="1056"/>
      <c r="CL152" s="1056"/>
      <c r="CM152" s="1056"/>
      <c r="CN152" s="1056"/>
      <c r="CO152" s="1056"/>
      <c r="CP152" s="1056"/>
      <c r="CQ152" s="1056"/>
      <c r="CR152" s="1056"/>
      <c r="CS152" s="1056"/>
      <c r="CT152" s="1056"/>
      <c r="CU152" s="1056"/>
      <c r="CV152" s="1056"/>
      <c r="CW152" s="1056"/>
      <c r="CX152" s="1056"/>
      <c r="CY152" s="1056"/>
      <c r="CZ152" s="1056"/>
      <c r="DA152" s="1056"/>
    </row>
    <row r="153" s="802" customFormat="1" ht="31" hidden="1" customHeight="1" spans="1:105">
      <c r="A153" s="997">
        <v>45971</v>
      </c>
      <c r="B153" s="871" t="s">
        <v>805</v>
      </c>
      <c r="C153" s="998" t="s">
        <v>806</v>
      </c>
      <c r="D153" s="871">
        <v>4500184934</v>
      </c>
      <c r="E153" s="1170">
        <v>84714</v>
      </c>
      <c r="F153" s="871" t="s">
        <v>810</v>
      </c>
      <c r="G153" s="989" t="s">
        <v>136</v>
      </c>
      <c r="H153" s="916" t="s">
        <v>137</v>
      </c>
      <c r="I153" s="916">
        <v>7000</v>
      </c>
      <c r="J153" s="916">
        <v>0</v>
      </c>
      <c r="K153" s="916">
        <v>50</v>
      </c>
      <c r="L153" s="1011">
        <f t="shared" si="46"/>
        <v>140</v>
      </c>
      <c r="M153" s="843">
        <v>46010</v>
      </c>
      <c r="N153" s="843">
        <v>46006</v>
      </c>
      <c r="O153" s="830"/>
      <c r="P153" s="1013" t="s">
        <v>46</v>
      </c>
      <c r="Q153" s="830"/>
      <c r="R153" s="855">
        <v>45978</v>
      </c>
      <c r="S153" s="855" t="s">
        <v>58</v>
      </c>
      <c r="T153" s="855" t="s">
        <v>808</v>
      </c>
      <c r="U153" s="1177" t="s">
        <v>811</v>
      </c>
      <c r="V153" s="1012" t="s">
        <v>354</v>
      </c>
      <c r="W153" s="1032">
        <v>1.9038</v>
      </c>
      <c r="X153" s="1033">
        <f>I153*W153</f>
        <v>13326.6</v>
      </c>
      <c r="Y153" s="830"/>
      <c r="Z153" s="989" t="s">
        <v>136</v>
      </c>
      <c r="AA153" s="916" t="s">
        <v>53</v>
      </c>
      <c r="AB153" s="916" t="s">
        <v>54</v>
      </c>
      <c r="AC153" s="830"/>
      <c r="AD153" s="1041">
        <v>7000</v>
      </c>
      <c r="AE153" s="1041">
        <f t="shared" si="47"/>
        <v>0</v>
      </c>
      <c r="AF153" s="1042"/>
      <c r="AG153" s="830" t="s">
        <v>55</v>
      </c>
      <c r="AH153" s="830"/>
      <c r="AI153" s="830">
        <f t="shared" si="48"/>
        <v>7000</v>
      </c>
      <c r="AJ153" s="808">
        <f t="shared" si="50"/>
        <v>7000</v>
      </c>
      <c r="AM153" s="802">
        <f t="shared" si="51"/>
        <v>7000</v>
      </c>
      <c r="AR153" s="802">
        <f>I153/25</f>
        <v>280</v>
      </c>
      <c r="AS153" s="830"/>
      <c r="BC153" s="998"/>
      <c r="BD153" s="998"/>
      <c r="BE153" s="998"/>
      <c r="BF153" s="998"/>
      <c r="BG153" s="998"/>
      <c r="BL153" s="888"/>
      <c r="BM153" s="888"/>
      <c r="BN153" s="888"/>
      <c r="BO153" s="888"/>
      <c r="BP153" s="888"/>
      <c r="BQ153" s="888"/>
      <c r="BT153" s="802">
        <f t="shared" si="40"/>
        <v>280</v>
      </c>
      <c r="BU153" s="802">
        <f t="shared" si="41"/>
        <v>0</v>
      </c>
      <c r="BV153" s="291">
        <f t="shared" si="42"/>
        <v>801504</v>
      </c>
      <c r="BW153" s="888"/>
      <c r="BX153" s="888"/>
      <c r="BY153" s="888">
        <f t="shared" si="45"/>
        <v>58496</v>
      </c>
      <c r="BZ153" s="888"/>
      <c r="CA153" s="888"/>
      <c r="CF153" s="1056"/>
      <c r="CG153" s="1056"/>
      <c r="CH153" s="1056"/>
      <c r="CI153" s="1056"/>
      <c r="CJ153" s="1056"/>
      <c r="CK153" s="1056"/>
      <c r="CL153" s="1056"/>
      <c r="CM153" s="1056"/>
      <c r="CN153" s="1056"/>
      <c r="CO153" s="1056"/>
      <c r="CP153" s="1056"/>
      <c r="CQ153" s="1056"/>
      <c r="CR153" s="1056"/>
      <c r="CS153" s="1056"/>
      <c r="CT153" s="1056"/>
      <c r="CU153" s="1056"/>
      <c r="CV153" s="1056"/>
      <c r="CW153" s="1056"/>
      <c r="CX153" s="1056"/>
      <c r="CY153" s="1056"/>
      <c r="CZ153" s="1056"/>
      <c r="DA153" s="1056"/>
    </row>
    <row r="154" s="802" customFormat="1" ht="31" hidden="1" customHeight="1" spans="1:105">
      <c r="A154" s="997">
        <v>45943</v>
      </c>
      <c r="B154" s="871" t="s">
        <v>812</v>
      </c>
      <c r="C154" s="998" t="s">
        <v>84</v>
      </c>
      <c r="D154" s="802">
        <v>4500181566</v>
      </c>
      <c r="E154" s="830" t="s">
        <v>813</v>
      </c>
      <c r="F154" s="856" t="s">
        <v>814</v>
      </c>
      <c r="G154" s="989" t="s">
        <v>136</v>
      </c>
      <c r="H154" s="916" t="s">
        <v>137</v>
      </c>
      <c r="I154" s="916">
        <v>2250</v>
      </c>
      <c r="J154" s="916">
        <v>0</v>
      </c>
      <c r="K154" s="916">
        <v>50</v>
      </c>
      <c r="L154" s="1011">
        <f t="shared" ref="L150:L217" si="52">I154/K154</f>
        <v>45</v>
      </c>
      <c r="M154" s="843">
        <v>46020</v>
      </c>
      <c r="N154" s="843">
        <v>46016</v>
      </c>
      <c r="O154" s="830"/>
      <c r="P154" s="1013" t="s">
        <v>46</v>
      </c>
      <c r="Q154" s="830"/>
      <c r="R154" s="855">
        <v>45985</v>
      </c>
      <c r="S154" s="951" t="s">
        <v>58</v>
      </c>
      <c r="T154" s="951" t="s">
        <v>58</v>
      </c>
      <c r="U154" s="856" t="s">
        <v>815</v>
      </c>
      <c r="V154" s="1012" t="s">
        <v>816</v>
      </c>
      <c r="W154" s="1032">
        <v>1.41</v>
      </c>
      <c r="X154" s="1033">
        <f t="shared" ref="X154:X173" si="53">W154*I154</f>
        <v>3172.5</v>
      </c>
      <c r="Y154" s="830"/>
      <c r="Z154" s="830" t="s">
        <v>136</v>
      </c>
      <c r="AA154" s="916" t="s">
        <v>53</v>
      </c>
      <c r="AB154" s="916" t="s">
        <v>54</v>
      </c>
      <c r="AC154" s="830"/>
      <c r="AD154" s="1041">
        <v>2250</v>
      </c>
      <c r="AE154" s="1041">
        <f t="shared" ref="AE154:AE197" si="54">AD154-I154</f>
        <v>0</v>
      </c>
      <c r="AF154" s="1042"/>
      <c r="AG154" s="830" t="s">
        <v>58</v>
      </c>
      <c r="AH154" s="830"/>
      <c r="AI154" s="830">
        <f t="shared" si="48"/>
        <v>2250</v>
      </c>
      <c r="AJ154" s="808">
        <f t="shared" si="50"/>
        <v>2250</v>
      </c>
      <c r="AK154" s="808"/>
      <c r="AL154" s="808"/>
      <c r="AM154" s="808">
        <f t="shared" si="51"/>
        <v>2250</v>
      </c>
      <c r="AR154" s="802">
        <f>L154*2</f>
        <v>90</v>
      </c>
      <c r="BC154" s="998"/>
      <c r="BD154" s="998"/>
      <c r="BE154" s="998"/>
      <c r="BF154" s="998"/>
      <c r="BG154" s="998"/>
      <c r="BL154" s="888"/>
      <c r="BM154" s="888"/>
      <c r="BN154" s="888"/>
      <c r="BO154" s="888"/>
      <c r="BP154" s="888"/>
      <c r="BQ154" s="888"/>
      <c r="BT154" s="802">
        <f t="shared" si="40"/>
        <v>90</v>
      </c>
      <c r="BU154" s="802">
        <f t="shared" si="41"/>
        <v>0</v>
      </c>
      <c r="BV154" s="291">
        <f t="shared" si="42"/>
        <v>803754</v>
      </c>
      <c r="BW154" s="888"/>
      <c r="BX154" s="888"/>
      <c r="BY154" s="888">
        <f t="shared" si="45"/>
        <v>56246</v>
      </c>
      <c r="BZ154" s="888"/>
      <c r="CA154" s="888"/>
      <c r="CF154" s="1056"/>
      <c r="CG154" s="1056"/>
      <c r="CH154" s="1056"/>
      <c r="CI154" s="1056"/>
      <c r="CJ154" s="1056"/>
      <c r="CK154" s="1056"/>
      <c r="CL154" s="1056"/>
      <c r="CM154" s="1056"/>
      <c r="CN154" s="1056"/>
      <c r="CO154" s="1056"/>
      <c r="CP154" s="1056"/>
      <c r="CQ154" s="1056"/>
      <c r="CR154" s="1056"/>
      <c r="CS154" s="1056"/>
      <c r="CT154" s="1056"/>
      <c r="CU154" s="1056"/>
      <c r="CV154" s="1056"/>
      <c r="CW154" s="1056"/>
      <c r="CX154" s="1056"/>
      <c r="CY154" s="1056"/>
      <c r="CZ154" s="1056"/>
      <c r="DA154" s="1056"/>
    </row>
    <row r="155" s="802" customFormat="1" ht="31" hidden="1" customHeight="1" spans="1:105">
      <c r="A155" s="997">
        <v>45961</v>
      </c>
      <c r="B155" s="871" t="s">
        <v>199</v>
      </c>
      <c r="C155" s="998" t="s">
        <v>84</v>
      </c>
      <c r="D155" s="802">
        <v>4500183836</v>
      </c>
      <c r="E155" s="1297" t="s">
        <v>817</v>
      </c>
      <c r="F155" s="802" t="s">
        <v>818</v>
      </c>
      <c r="G155" s="989" t="s">
        <v>202</v>
      </c>
      <c r="H155" s="916" t="s">
        <v>203</v>
      </c>
      <c r="I155" s="916">
        <v>960</v>
      </c>
      <c r="J155" s="916">
        <v>0</v>
      </c>
      <c r="K155" s="916">
        <v>16</v>
      </c>
      <c r="L155" s="1011">
        <f t="shared" si="52"/>
        <v>60</v>
      </c>
      <c r="M155" s="843">
        <v>46020</v>
      </c>
      <c r="N155" s="843">
        <v>46016</v>
      </c>
      <c r="O155" s="830" t="s">
        <v>819</v>
      </c>
      <c r="P155" s="1013" t="s">
        <v>46</v>
      </c>
      <c r="Q155" s="830"/>
      <c r="R155" s="855" t="s">
        <v>251</v>
      </c>
      <c r="S155" s="855" t="s">
        <v>58</v>
      </c>
      <c r="T155" s="855" t="s">
        <v>420</v>
      </c>
      <c r="U155" s="856" t="s">
        <v>252</v>
      </c>
      <c r="V155" s="1012" t="s">
        <v>207</v>
      </c>
      <c r="W155" s="1032">
        <v>1.2079</v>
      </c>
      <c r="X155" s="1033">
        <f t="shared" si="53"/>
        <v>1159.584</v>
      </c>
      <c r="Y155" s="830"/>
      <c r="Z155" s="989" t="s">
        <v>202</v>
      </c>
      <c r="AA155" s="916" t="s">
        <v>53</v>
      </c>
      <c r="AB155" s="916" t="s">
        <v>54</v>
      </c>
      <c r="AC155" s="830"/>
      <c r="AD155" s="1041">
        <v>960</v>
      </c>
      <c r="AE155" s="1041">
        <f t="shared" si="54"/>
        <v>0</v>
      </c>
      <c r="AF155" s="1042"/>
      <c r="AG155" s="830" t="s">
        <v>55</v>
      </c>
      <c r="AH155" s="830"/>
      <c r="AI155" s="830">
        <f t="shared" si="48"/>
        <v>960</v>
      </c>
      <c r="AJ155" s="808">
        <f t="shared" si="50"/>
        <v>960</v>
      </c>
      <c r="AK155" s="808"/>
      <c r="AL155" s="808"/>
      <c r="AM155" s="802">
        <f t="shared" si="51"/>
        <v>960</v>
      </c>
      <c r="AW155" s="802">
        <f>I155/16</f>
        <v>60</v>
      </c>
      <c r="BC155" s="998"/>
      <c r="BD155" s="998"/>
      <c r="BE155" s="998"/>
      <c r="BF155" s="998"/>
      <c r="BG155" s="998"/>
      <c r="BL155" s="888"/>
      <c r="BM155" s="888"/>
      <c r="BN155" s="888"/>
      <c r="BO155" s="888"/>
      <c r="BP155" s="888"/>
      <c r="BQ155" s="888"/>
      <c r="BT155" s="802">
        <f t="shared" si="40"/>
        <v>60</v>
      </c>
      <c r="BU155" s="802">
        <f t="shared" si="41"/>
        <v>0</v>
      </c>
      <c r="BV155" s="291">
        <f t="shared" si="42"/>
        <v>804714</v>
      </c>
      <c r="BW155" s="888"/>
      <c r="BX155" s="888"/>
      <c r="BY155" s="888">
        <f t="shared" si="45"/>
        <v>55286</v>
      </c>
      <c r="BZ155" s="888"/>
      <c r="CA155" s="888"/>
      <c r="CF155" s="1056"/>
      <c r="CG155" s="1056"/>
      <c r="CH155" s="1056"/>
      <c r="CI155" s="1056"/>
      <c r="CJ155" s="1056"/>
      <c r="CK155" s="1056"/>
      <c r="CL155" s="1056"/>
      <c r="CM155" s="1056"/>
      <c r="CN155" s="1056"/>
      <c r="CO155" s="1056"/>
      <c r="CP155" s="1056"/>
      <c r="CQ155" s="1056"/>
      <c r="CR155" s="1056"/>
      <c r="CS155" s="1056"/>
      <c r="CT155" s="1056"/>
      <c r="CU155" s="1056"/>
      <c r="CV155" s="1056"/>
      <c r="CW155" s="1056"/>
      <c r="CX155" s="1056"/>
      <c r="CY155" s="1056"/>
      <c r="CZ155" s="1056"/>
      <c r="DA155" s="1056"/>
    </row>
    <row r="156" s="802" customFormat="1" ht="31" hidden="1" customHeight="1" spans="1:105">
      <c r="A156" s="997">
        <v>45961</v>
      </c>
      <c r="B156" s="871" t="s">
        <v>199</v>
      </c>
      <c r="C156" s="998" t="s">
        <v>84</v>
      </c>
      <c r="D156" s="802">
        <v>4500183836</v>
      </c>
      <c r="E156" s="1297" t="s">
        <v>820</v>
      </c>
      <c r="F156" s="802" t="s">
        <v>821</v>
      </c>
      <c r="G156" s="989" t="s">
        <v>202</v>
      </c>
      <c r="H156" s="916" t="s">
        <v>203</v>
      </c>
      <c r="I156" s="916">
        <v>960</v>
      </c>
      <c r="J156" s="916">
        <v>0</v>
      </c>
      <c r="K156" s="916">
        <v>16</v>
      </c>
      <c r="L156" s="1011">
        <f t="shared" si="52"/>
        <v>60</v>
      </c>
      <c r="M156" s="843">
        <v>46020</v>
      </c>
      <c r="N156" s="843">
        <v>46016</v>
      </c>
      <c r="O156" s="830" t="s">
        <v>819</v>
      </c>
      <c r="P156" s="1013" t="s">
        <v>46</v>
      </c>
      <c r="Q156" s="830"/>
      <c r="R156" s="855" t="s">
        <v>251</v>
      </c>
      <c r="S156" s="855" t="s">
        <v>58</v>
      </c>
      <c r="T156" s="855" t="s">
        <v>420</v>
      </c>
      <c r="U156" s="856" t="s">
        <v>252</v>
      </c>
      <c r="V156" s="1012" t="s">
        <v>207</v>
      </c>
      <c r="W156" s="1032">
        <v>1.2079</v>
      </c>
      <c r="X156" s="1033">
        <f t="shared" si="53"/>
        <v>1159.584</v>
      </c>
      <c r="Y156" s="830"/>
      <c r="Z156" s="989" t="s">
        <v>202</v>
      </c>
      <c r="AA156" s="916" t="s">
        <v>53</v>
      </c>
      <c r="AB156" s="916" t="s">
        <v>54</v>
      </c>
      <c r="AC156" s="830"/>
      <c r="AD156" s="1041">
        <v>960</v>
      </c>
      <c r="AE156" s="1041">
        <f t="shared" si="54"/>
        <v>0</v>
      </c>
      <c r="AF156" s="1042"/>
      <c r="AG156" s="830" t="s">
        <v>55</v>
      </c>
      <c r="AH156" s="830"/>
      <c r="AI156" s="830">
        <f t="shared" si="48"/>
        <v>960</v>
      </c>
      <c r="AJ156" s="808">
        <f t="shared" si="50"/>
        <v>960</v>
      </c>
      <c r="AK156" s="808"/>
      <c r="AL156" s="808"/>
      <c r="AM156" s="802">
        <f t="shared" si="51"/>
        <v>960</v>
      </c>
      <c r="AW156" s="802">
        <f>I156/16</f>
        <v>60</v>
      </c>
      <c r="BC156" s="998"/>
      <c r="BD156" s="998"/>
      <c r="BE156" s="998"/>
      <c r="BF156" s="998"/>
      <c r="BG156" s="998"/>
      <c r="BL156" s="888"/>
      <c r="BM156" s="888"/>
      <c r="BN156" s="888"/>
      <c r="BO156" s="888"/>
      <c r="BP156" s="888"/>
      <c r="BQ156" s="888"/>
      <c r="BT156" s="802">
        <f t="shared" si="40"/>
        <v>60</v>
      </c>
      <c r="BU156" s="802">
        <f t="shared" si="41"/>
        <v>0</v>
      </c>
      <c r="BV156" s="291">
        <f t="shared" si="42"/>
        <v>805674</v>
      </c>
      <c r="BW156" s="888"/>
      <c r="BX156" s="888"/>
      <c r="BY156" s="888">
        <f t="shared" si="45"/>
        <v>54326</v>
      </c>
      <c r="BZ156" s="888"/>
      <c r="CA156" s="888"/>
      <c r="CF156" s="1056"/>
      <c r="CG156" s="1056"/>
      <c r="CH156" s="1056"/>
      <c r="CI156" s="1056"/>
      <c r="CJ156" s="1056"/>
      <c r="CK156" s="1056"/>
      <c r="CL156" s="1056"/>
      <c r="CM156" s="1056"/>
      <c r="CN156" s="1056"/>
      <c r="CO156" s="1056"/>
      <c r="CP156" s="1056"/>
      <c r="CQ156" s="1056"/>
      <c r="CR156" s="1056"/>
      <c r="CS156" s="1056"/>
      <c r="CT156" s="1056"/>
      <c r="CU156" s="1056"/>
      <c r="CV156" s="1056"/>
      <c r="CW156" s="1056"/>
      <c r="CX156" s="1056"/>
      <c r="CY156" s="1056"/>
      <c r="CZ156" s="1056"/>
      <c r="DA156" s="1056"/>
    </row>
    <row r="157" s="802" customFormat="1" ht="31" hidden="1" customHeight="1" spans="1:105">
      <c r="A157" s="997">
        <v>45986</v>
      </c>
      <c r="B157" s="871" t="s">
        <v>199</v>
      </c>
      <c r="C157" s="998" t="s">
        <v>84</v>
      </c>
      <c r="D157" s="802">
        <v>4500186878</v>
      </c>
      <c r="E157" s="830">
        <v>7137242749</v>
      </c>
      <c r="F157" s="802" t="s">
        <v>822</v>
      </c>
      <c r="G157" s="989" t="s">
        <v>823</v>
      </c>
      <c r="H157" s="916" t="s">
        <v>824</v>
      </c>
      <c r="I157" s="916">
        <v>1890</v>
      </c>
      <c r="J157" s="916">
        <v>0</v>
      </c>
      <c r="K157" s="916">
        <v>30</v>
      </c>
      <c r="L157" s="1011">
        <f t="shared" si="52"/>
        <v>63</v>
      </c>
      <c r="M157" s="843">
        <v>46021</v>
      </c>
      <c r="N157" s="843">
        <v>46017</v>
      </c>
      <c r="O157" s="830" t="s">
        <v>825</v>
      </c>
      <c r="P157" s="1013" t="s">
        <v>46</v>
      </c>
      <c r="Q157" s="830"/>
      <c r="R157" s="855">
        <v>45988</v>
      </c>
      <c r="S157" s="855" t="s">
        <v>58</v>
      </c>
      <c r="T157" s="855">
        <v>45989</v>
      </c>
      <c r="U157" s="856" t="s">
        <v>826</v>
      </c>
      <c r="V157" s="1012" t="s">
        <v>207</v>
      </c>
      <c r="W157" s="1032">
        <v>37.5468</v>
      </c>
      <c r="X157" s="1033">
        <f t="shared" si="53"/>
        <v>70963.452</v>
      </c>
      <c r="Y157" s="830"/>
      <c r="Z157" s="989" t="s">
        <v>827</v>
      </c>
      <c r="AA157" s="916" t="s">
        <v>53</v>
      </c>
      <c r="AB157" s="916" t="s">
        <v>54</v>
      </c>
      <c r="AC157" s="830"/>
      <c r="AD157" s="1041">
        <v>1890</v>
      </c>
      <c r="AE157" s="1041">
        <f t="shared" si="54"/>
        <v>0</v>
      </c>
      <c r="AF157" s="1042"/>
      <c r="AG157" s="830" t="s">
        <v>55</v>
      </c>
      <c r="AH157" s="830"/>
      <c r="AI157" s="830">
        <f t="shared" si="48"/>
        <v>1890</v>
      </c>
      <c r="AJ157" s="808">
        <f t="shared" si="50"/>
        <v>1890</v>
      </c>
      <c r="AK157" s="808"/>
      <c r="AL157" s="808"/>
      <c r="AM157" s="808">
        <f t="shared" si="51"/>
        <v>1890</v>
      </c>
      <c r="BC157" s="998"/>
      <c r="BD157" s="998"/>
      <c r="BE157" s="998"/>
      <c r="BF157" s="998">
        <f>L157</f>
        <v>63</v>
      </c>
      <c r="BG157" s="998"/>
      <c r="BL157" s="888"/>
      <c r="BM157" s="888"/>
      <c r="BN157" s="888"/>
      <c r="BO157" s="888"/>
      <c r="BP157" s="888"/>
      <c r="BQ157" s="888"/>
      <c r="BT157" s="802">
        <f t="shared" si="40"/>
        <v>0</v>
      </c>
      <c r="BU157" s="802">
        <f t="shared" si="41"/>
        <v>0</v>
      </c>
      <c r="BV157" s="291">
        <f t="shared" si="42"/>
        <v>807564</v>
      </c>
      <c r="BW157" s="888"/>
      <c r="BX157" s="888"/>
      <c r="BY157" s="888">
        <f t="shared" si="45"/>
        <v>52436</v>
      </c>
      <c r="BZ157" s="888"/>
      <c r="CA157" s="888"/>
      <c r="CF157" s="1056"/>
      <c r="CG157" s="1056"/>
      <c r="CH157" s="1056"/>
      <c r="CI157" s="1056"/>
      <c r="CJ157" s="1056"/>
      <c r="CK157" s="1056"/>
      <c r="CL157" s="1056"/>
      <c r="CM157" s="1056"/>
      <c r="CN157" s="1056"/>
      <c r="CO157" s="1056"/>
      <c r="CP157" s="1056"/>
      <c r="CQ157" s="1056"/>
      <c r="CR157" s="1056"/>
      <c r="CS157" s="1056"/>
      <c r="CT157" s="1056"/>
      <c r="CU157" s="1056"/>
      <c r="CV157" s="1056"/>
      <c r="CW157" s="1056"/>
      <c r="CX157" s="1056"/>
      <c r="CY157" s="1056"/>
      <c r="CZ157" s="1056"/>
      <c r="DA157" s="1056"/>
    </row>
    <row r="158" s="802" customFormat="1" ht="31" hidden="1" customHeight="1" spans="1:105">
      <c r="A158" s="997">
        <v>45987</v>
      </c>
      <c r="B158" s="871" t="s">
        <v>828</v>
      </c>
      <c r="C158" s="998" t="s">
        <v>666</v>
      </c>
      <c r="D158" s="802">
        <v>4500187019</v>
      </c>
      <c r="E158" s="830" t="s">
        <v>829</v>
      </c>
      <c r="F158" s="802" t="s">
        <v>830</v>
      </c>
      <c r="G158" s="989" t="s">
        <v>145</v>
      </c>
      <c r="H158" s="916" t="s">
        <v>137</v>
      </c>
      <c r="I158" s="916">
        <v>832</v>
      </c>
      <c r="J158" s="916">
        <v>0</v>
      </c>
      <c r="K158" s="916">
        <v>52</v>
      </c>
      <c r="L158" s="1011">
        <f t="shared" si="52"/>
        <v>16</v>
      </c>
      <c r="M158" s="843">
        <v>46022</v>
      </c>
      <c r="N158" s="843">
        <v>46018</v>
      </c>
      <c r="O158" s="830"/>
      <c r="P158" s="1013" t="s">
        <v>46</v>
      </c>
      <c r="Q158" s="830"/>
      <c r="R158" s="855">
        <v>45987</v>
      </c>
      <c r="S158" s="855" t="s">
        <v>58</v>
      </c>
      <c r="T158" s="855" t="s">
        <v>831</v>
      </c>
      <c r="U158" s="856" t="s">
        <v>832</v>
      </c>
      <c r="V158" s="1012" t="s">
        <v>487</v>
      </c>
      <c r="W158" s="1032">
        <v>1.8769</v>
      </c>
      <c r="X158" s="1033">
        <f t="shared" si="53"/>
        <v>1561.5808</v>
      </c>
      <c r="Y158" s="830"/>
      <c r="Z158" s="989" t="s">
        <v>833</v>
      </c>
      <c r="AA158" s="916" t="s">
        <v>53</v>
      </c>
      <c r="AB158" s="916" t="s">
        <v>54</v>
      </c>
      <c r="AC158" s="830"/>
      <c r="AD158" s="1041">
        <v>832</v>
      </c>
      <c r="AE158" s="1041">
        <f t="shared" si="54"/>
        <v>0</v>
      </c>
      <c r="AF158" s="1042"/>
      <c r="AG158" s="830" t="s">
        <v>55</v>
      </c>
      <c r="AH158" s="830"/>
      <c r="AI158" s="830">
        <f t="shared" si="48"/>
        <v>832</v>
      </c>
      <c r="AJ158" s="808"/>
      <c r="AK158" s="808"/>
      <c r="AL158" s="808">
        <f>I158</f>
        <v>832</v>
      </c>
      <c r="AM158" s="802">
        <f t="shared" si="51"/>
        <v>832</v>
      </c>
      <c r="AQ158" s="802">
        <f>I158/13</f>
        <v>64</v>
      </c>
      <c r="BC158" s="998"/>
      <c r="BD158" s="998"/>
      <c r="BE158" s="998"/>
      <c r="BF158" s="998"/>
      <c r="BG158" s="998"/>
      <c r="BL158" s="888"/>
      <c r="BM158" s="888"/>
      <c r="BN158" s="888"/>
      <c r="BO158" s="888"/>
      <c r="BP158" s="888"/>
      <c r="BQ158" s="888"/>
      <c r="BT158" s="802">
        <f t="shared" si="40"/>
        <v>0</v>
      </c>
      <c r="BU158" s="802">
        <f t="shared" si="41"/>
        <v>0</v>
      </c>
      <c r="BV158" s="291">
        <f t="shared" si="42"/>
        <v>808396</v>
      </c>
      <c r="BW158" s="888"/>
      <c r="BX158" s="888"/>
      <c r="BY158" s="888">
        <f t="shared" si="45"/>
        <v>51604</v>
      </c>
      <c r="BZ158" s="888"/>
      <c r="CA158" s="888"/>
      <c r="CF158" s="1056"/>
      <c r="CG158" s="1056"/>
      <c r="CH158" s="1056"/>
      <c r="CI158" s="1056"/>
      <c r="CJ158" s="1056"/>
      <c r="CK158" s="1056"/>
      <c r="CL158" s="1056"/>
      <c r="CM158" s="1056"/>
      <c r="CN158" s="1056"/>
      <c r="CO158" s="1056"/>
      <c r="CP158" s="1056"/>
      <c r="CQ158" s="1056"/>
      <c r="CR158" s="1056"/>
      <c r="CS158" s="1056"/>
      <c r="CT158" s="1056"/>
      <c r="CU158" s="1056"/>
      <c r="CV158" s="1056"/>
      <c r="CW158" s="1056"/>
      <c r="CX158" s="1056"/>
      <c r="CY158" s="1056"/>
      <c r="CZ158" s="1056"/>
      <c r="DA158" s="1056"/>
    </row>
    <row r="159" s="802" customFormat="1" ht="31" hidden="1" customHeight="1" spans="1:105">
      <c r="A159" s="997">
        <v>45986</v>
      </c>
      <c r="B159" s="871" t="s">
        <v>199</v>
      </c>
      <c r="C159" s="998" t="s">
        <v>84</v>
      </c>
      <c r="D159" s="802">
        <v>4500186879</v>
      </c>
      <c r="E159" s="830">
        <v>7137242750</v>
      </c>
      <c r="F159" s="802" t="s">
        <v>834</v>
      </c>
      <c r="G159" s="989" t="s">
        <v>823</v>
      </c>
      <c r="H159" s="916" t="s">
        <v>824</v>
      </c>
      <c r="I159" s="916">
        <v>4590</v>
      </c>
      <c r="J159" s="916">
        <v>0</v>
      </c>
      <c r="K159" s="916">
        <v>30</v>
      </c>
      <c r="L159" s="1011">
        <f t="shared" si="52"/>
        <v>153</v>
      </c>
      <c r="M159" s="843">
        <v>46028</v>
      </c>
      <c r="N159" s="843">
        <v>46024</v>
      </c>
      <c r="O159" s="830" t="s">
        <v>835</v>
      </c>
      <c r="P159" s="1013" t="s">
        <v>46</v>
      </c>
      <c r="Q159" s="830"/>
      <c r="R159" s="855">
        <v>45988</v>
      </c>
      <c r="S159" s="855" t="s">
        <v>58</v>
      </c>
      <c r="T159" s="855" t="s">
        <v>836</v>
      </c>
      <c r="U159" s="856" t="s">
        <v>826</v>
      </c>
      <c r="V159" s="1012" t="s">
        <v>207</v>
      </c>
      <c r="W159" s="1032">
        <v>37.4424</v>
      </c>
      <c r="X159" s="1033">
        <f t="shared" si="53"/>
        <v>171860.616</v>
      </c>
      <c r="Y159" s="830"/>
      <c r="Z159" s="989" t="s">
        <v>827</v>
      </c>
      <c r="AA159" s="916" t="s">
        <v>53</v>
      </c>
      <c r="AB159" s="916" t="s">
        <v>54</v>
      </c>
      <c r="AC159" s="830"/>
      <c r="AD159" s="1041">
        <v>4590</v>
      </c>
      <c r="AE159" s="1041">
        <f t="shared" si="54"/>
        <v>0</v>
      </c>
      <c r="AF159" s="1042"/>
      <c r="AG159" s="830" t="s">
        <v>55</v>
      </c>
      <c r="AH159" s="830"/>
      <c r="AI159" s="830">
        <f t="shared" si="48"/>
        <v>4590</v>
      </c>
      <c r="AJ159" s="808">
        <f>I159</f>
        <v>4590</v>
      </c>
      <c r="AK159" s="808"/>
      <c r="AL159" s="808"/>
      <c r="AM159" s="808">
        <f t="shared" si="51"/>
        <v>4590</v>
      </c>
      <c r="BC159" s="998"/>
      <c r="BD159" s="998"/>
      <c r="BE159" s="998"/>
      <c r="BF159" s="998">
        <f>L159</f>
        <v>153</v>
      </c>
      <c r="BG159" s="998"/>
      <c r="BL159" s="888"/>
      <c r="BM159" s="888"/>
      <c r="BN159" s="888"/>
      <c r="BO159" s="888"/>
      <c r="BP159" s="888"/>
      <c r="BQ159" s="888"/>
      <c r="BT159" s="802">
        <f t="shared" si="40"/>
        <v>0</v>
      </c>
      <c r="BU159" s="802">
        <f t="shared" si="41"/>
        <v>0</v>
      </c>
      <c r="BV159" s="291">
        <f t="shared" si="42"/>
        <v>812986</v>
      </c>
      <c r="BW159" s="888"/>
      <c r="BX159" s="888"/>
      <c r="BY159" s="888">
        <f t="shared" si="45"/>
        <v>47014</v>
      </c>
      <c r="BZ159" s="888"/>
      <c r="CA159" s="888"/>
      <c r="CF159" s="1056"/>
      <c r="CG159" s="1056"/>
      <c r="CH159" s="1056"/>
      <c r="CI159" s="1056"/>
      <c r="CJ159" s="1056"/>
      <c r="CK159" s="1056"/>
      <c r="CL159" s="1056"/>
      <c r="CM159" s="1056"/>
      <c r="CN159" s="1056"/>
      <c r="CO159" s="1056"/>
      <c r="CP159" s="1056"/>
      <c r="CQ159" s="1056"/>
      <c r="CR159" s="1056"/>
      <c r="CS159" s="1056"/>
      <c r="CT159" s="1056"/>
      <c r="CU159" s="1056"/>
      <c r="CV159" s="1056"/>
      <c r="CW159" s="1056"/>
      <c r="CX159" s="1056"/>
      <c r="CY159" s="1056"/>
      <c r="CZ159" s="1056"/>
      <c r="DA159" s="1056"/>
    </row>
    <row r="160" s="802" customFormat="1" ht="31" hidden="1" customHeight="1" spans="1:105">
      <c r="A160" s="997">
        <v>45986</v>
      </c>
      <c r="B160" s="871" t="s">
        <v>199</v>
      </c>
      <c r="C160" s="998" t="s">
        <v>84</v>
      </c>
      <c r="D160" s="802">
        <v>4500186879</v>
      </c>
      <c r="E160" s="830">
        <v>7137242754</v>
      </c>
      <c r="F160" s="802" t="s">
        <v>837</v>
      </c>
      <c r="G160" s="989" t="s">
        <v>823</v>
      </c>
      <c r="H160" s="916" t="s">
        <v>824</v>
      </c>
      <c r="I160" s="916">
        <v>4200</v>
      </c>
      <c r="J160" s="916">
        <v>0</v>
      </c>
      <c r="K160" s="916">
        <v>30</v>
      </c>
      <c r="L160" s="1011">
        <f t="shared" si="52"/>
        <v>140</v>
      </c>
      <c r="M160" s="843">
        <v>46028</v>
      </c>
      <c r="N160" s="843">
        <v>46024</v>
      </c>
      <c r="O160" s="830" t="s">
        <v>835</v>
      </c>
      <c r="P160" s="1013" t="s">
        <v>46</v>
      </c>
      <c r="Q160" s="830"/>
      <c r="R160" s="855">
        <v>45988</v>
      </c>
      <c r="S160" s="855" t="s">
        <v>58</v>
      </c>
      <c r="T160" s="855" t="s">
        <v>836</v>
      </c>
      <c r="U160" s="856" t="s">
        <v>826</v>
      </c>
      <c r="V160" s="1012" t="s">
        <v>207</v>
      </c>
      <c r="W160" s="1032">
        <v>37.4424</v>
      </c>
      <c r="X160" s="1033">
        <f t="shared" si="53"/>
        <v>157258.08</v>
      </c>
      <c r="Y160" s="830"/>
      <c r="Z160" s="989" t="s">
        <v>827</v>
      </c>
      <c r="AA160" s="916" t="s">
        <v>53</v>
      </c>
      <c r="AB160" s="916" t="s">
        <v>54</v>
      </c>
      <c r="AC160" s="830"/>
      <c r="AD160" s="1041">
        <v>4200</v>
      </c>
      <c r="AE160" s="1041">
        <f t="shared" si="54"/>
        <v>0</v>
      </c>
      <c r="AF160" s="1042"/>
      <c r="AG160" s="830" t="s">
        <v>55</v>
      </c>
      <c r="AH160" s="830"/>
      <c r="AI160" s="830">
        <f t="shared" si="48"/>
        <v>4200</v>
      </c>
      <c r="AJ160" s="808">
        <f>I160</f>
        <v>4200</v>
      </c>
      <c r="AK160" s="808"/>
      <c r="AL160" s="808"/>
      <c r="AM160" s="808">
        <f t="shared" si="51"/>
        <v>4200</v>
      </c>
      <c r="BC160" s="998"/>
      <c r="BD160" s="998"/>
      <c r="BE160" s="998"/>
      <c r="BF160" s="998">
        <f>L160</f>
        <v>140</v>
      </c>
      <c r="BG160" s="998"/>
      <c r="BL160" s="888"/>
      <c r="BM160" s="888"/>
      <c r="BN160" s="888"/>
      <c r="BO160" s="888"/>
      <c r="BP160" s="888"/>
      <c r="BQ160" s="888"/>
      <c r="BT160" s="802">
        <f t="shared" si="40"/>
        <v>0</v>
      </c>
      <c r="BU160" s="802">
        <f t="shared" si="41"/>
        <v>0</v>
      </c>
      <c r="BV160" s="291">
        <f t="shared" si="42"/>
        <v>817186</v>
      </c>
      <c r="BW160" s="888"/>
      <c r="BX160" s="888"/>
      <c r="BY160" s="888">
        <f t="shared" si="45"/>
        <v>42814</v>
      </c>
      <c r="BZ160" s="888"/>
      <c r="CA160" s="888"/>
      <c r="CF160" s="1056"/>
      <c r="CG160" s="1056"/>
      <c r="CH160" s="1056"/>
      <c r="CI160" s="1056"/>
      <c r="CJ160" s="1056"/>
      <c r="CK160" s="1056"/>
      <c r="CL160" s="1056"/>
      <c r="CM160" s="1056"/>
      <c r="CN160" s="1056"/>
      <c r="CO160" s="1056"/>
      <c r="CP160" s="1056"/>
      <c r="CQ160" s="1056"/>
      <c r="CR160" s="1056"/>
      <c r="CS160" s="1056"/>
      <c r="CT160" s="1056"/>
      <c r="CU160" s="1056"/>
      <c r="CV160" s="1056"/>
      <c r="CW160" s="1056"/>
      <c r="CX160" s="1056"/>
      <c r="CY160" s="1056"/>
      <c r="CZ160" s="1056"/>
      <c r="DA160" s="1056"/>
    </row>
    <row r="161" s="802" customFormat="1" ht="31" hidden="1" customHeight="1" spans="1:105">
      <c r="A161" s="997">
        <v>45994</v>
      </c>
      <c r="B161" s="871" t="s">
        <v>838</v>
      </c>
      <c r="C161" s="998" t="s">
        <v>839</v>
      </c>
      <c r="D161" s="802">
        <v>4500187918</v>
      </c>
      <c r="E161" s="830" t="s">
        <v>840</v>
      </c>
      <c r="F161" s="802" t="s">
        <v>841</v>
      </c>
      <c r="G161" s="989" t="s">
        <v>136</v>
      </c>
      <c r="H161" s="916" t="s">
        <v>137</v>
      </c>
      <c r="I161" s="916">
        <v>2000</v>
      </c>
      <c r="J161" s="916">
        <v>0</v>
      </c>
      <c r="K161" s="916">
        <v>50</v>
      </c>
      <c r="L161" s="1011">
        <f t="shared" si="52"/>
        <v>40</v>
      </c>
      <c r="M161" s="843">
        <v>46029</v>
      </c>
      <c r="N161" s="843">
        <v>46025</v>
      </c>
      <c r="O161" s="830"/>
      <c r="P161" s="1013" t="s">
        <v>46</v>
      </c>
      <c r="Q161" s="830"/>
      <c r="R161" s="855">
        <v>45994</v>
      </c>
      <c r="S161" s="951" t="s">
        <v>58</v>
      </c>
      <c r="T161" s="855" t="s">
        <v>842</v>
      </c>
      <c r="U161" s="856" t="s">
        <v>843</v>
      </c>
      <c r="V161" s="1012" t="s">
        <v>214</v>
      </c>
      <c r="W161" s="1032">
        <v>1.9685</v>
      </c>
      <c r="X161" s="1033">
        <f t="shared" si="53"/>
        <v>3937</v>
      </c>
      <c r="Y161" s="830"/>
      <c r="Z161" s="830" t="s">
        <v>136</v>
      </c>
      <c r="AA161" s="916" t="s">
        <v>53</v>
      </c>
      <c r="AB161" s="916" t="s">
        <v>54</v>
      </c>
      <c r="AC161" s="830"/>
      <c r="AD161" s="1041">
        <v>2000</v>
      </c>
      <c r="AE161" s="1041">
        <f t="shared" si="54"/>
        <v>0</v>
      </c>
      <c r="AF161" s="1042"/>
      <c r="AG161" s="830" t="s">
        <v>55</v>
      </c>
      <c r="AH161" s="830"/>
      <c r="AI161" s="830">
        <f t="shared" si="48"/>
        <v>2000</v>
      </c>
      <c r="AJ161" s="808">
        <f>I161</f>
        <v>2000</v>
      </c>
      <c r="AK161" s="808"/>
      <c r="AL161" s="808"/>
      <c r="AM161" s="808">
        <f t="shared" si="51"/>
        <v>2000</v>
      </c>
      <c r="AR161" s="802">
        <f>L161*2</f>
        <v>80</v>
      </c>
      <c r="BC161" s="998"/>
      <c r="BD161" s="998"/>
      <c r="BE161" s="998"/>
      <c r="BF161" s="998"/>
      <c r="BG161" s="998"/>
      <c r="BL161" s="888"/>
      <c r="BM161" s="888"/>
      <c r="BN161" s="888"/>
      <c r="BO161" s="888"/>
      <c r="BP161" s="888"/>
      <c r="BQ161" s="888"/>
      <c r="BT161" s="802">
        <f t="shared" si="40"/>
        <v>80</v>
      </c>
      <c r="BU161" s="802">
        <f t="shared" si="41"/>
        <v>0</v>
      </c>
      <c r="BV161" s="291">
        <f t="shared" si="42"/>
        <v>819186</v>
      </c>
      <c r="BW161" s="888"/>
      <c r="BX161" s="888"/>
      <c r="BY161" s="888">
        <f t="shared" si="45"/>
        <v>40814</v>
      </c>
      <c r="BZ161" s="888"/>
      <c r="CA161" s="888"/>
      <c r="CF161" s="1056"/>
      <c r="CG161" s="1056"/>
      <c r="CH161" s="1056"/>
      <c r="CI161" s="1056"/>
      <c r="CJ161" s="1056"/>
      <c r="CK161" s="1056"/>
      <c r="CL161" s="1056"/>
      <c r="CM161" s="1056"/>
      <c r="CN161" s="1056"/>
      <c r="CO161" s="1056"/>
      <c r="CP161" s="1056"/>
      <c r="CQ161" s="1056"/>
      <c r="CR161" s="1056"/>
      <c r="CS161" s="1056"/>
      <c r="CT161" s="1056"/>
      <c r="CU161" s="1056"/>
      <c r="CV161" s="1056"/>
      <c r="CW161" s="1056"/>
      <c r="CX161" s="1056"/>
      <c r="CY161" s="1056"/>
      <c r="CZ161" s="1056"/>
      <c r="DA161" s="1056"/>
    </row>
    <row r="162" s="802" customFormat="1" ht="31" hidden="1" customHeight="1" spans="1:105">
      <c r="A162" s="997">
        <v>45968</v>
      </c>
      <c r="B162" s="871" t="s">
        <v>844</v>
      </c>
      <c r="C162" s="998" t="s">
        <v>753</v>
      </c>
      <c r="D162" s="802">
        <v>4500183616</v>
      </c>
      <c r="E162" s="830" t="s">
        <v>845</v>
      </c>
      <c r="F162" s="802" t="s">
        <v>846</v>
      </c>
      <c r="G162" s="989" t="s">
        <v>136</v>
      </c>
      <c r="H162" s="916" t="s">
        <v>137</v>
      </c>
      <c r="I162" s="916">
        <v>2400</v>
      </c>
      <c r="J162" s="916">
        <v>0</v>
      </c>
      <c r="K162" s="916">
        <v>50</v>
      </c>
      <c r="L162" s="1011">
        <f t="shared" si="52"/>
        <v>48</v>
      </c>
      <c r="M162" s="843">
        <v>46031</v>
      </c>
      <c r="N162" s="843">
        <v>46027</v>
      </c>
      <c r="O162" s="830"/>
      <c r="P162" s="1013" t="s">
        <v>46</v>
      </c>
      <c r="Q162" s="830"/>
      <c r="R162" s="855">
        <v>45982</v>
      </c>
      <c r="S162" s="855" t="s">
        <v>847</v>
      </c>
      <c r="T162" s="855" t="s">
        <v>848</v>
      </c>
      <c r="U162" s="856" t="s">
        <v>849</v>
      </c>
      <c r="V162" s="1012" t="s">
        <v>653</v>
      </c>
      <c r="W162" s="1032">
        <v>1.9324</v>
      </c>
      <c r="X162" s="1033">
        <f t="shared" si="53"/>
        <v>4637.76</v>
      </c>
      <c r="Y162" s="830"/>
      <c r="Z162" s="989" t="s">
        <v>355</v>
      </c>
      <c r="AA162" s="916" t="s">
        <v>53</v>
      </c>
      <c r="AB162" s="916" t="s">
        <v>54</v>
      </c>
      <c r="AC162" s="830"/>
      <c r="AD162" s="1041">
        <v>2400</v>
      </c>
      <c r="AE162" s="1041">
        <f t="shared" si="54"/>
        <v>0</v>
      </c>
      <c r="AF162" s="1042"/>
      <c r="AG162" s="830" t="s">
        <v>55</v>
      </c>
      <c r="AH162" s="830"/>
      <c r="AI162" s="830">
        <f t="shared" si="48"/>
        <v>2400</v>
      </c>
      <c r="AJ162" s="808"/>
      <c r="AK162" s="808"/>
      <c r="AL162" s="808">
        <f>I162</f>
        <v>2400</v>
      </c>
      <c r="AM162" s="1179">
        <f t="shared" si="51"/>
        <v>2400</v>
      </c>
      <c r="AS162" s="802">
        <f>L162*2</f>
        <v>96</v>
      </c>
      <c r="BC162" s="998"/>
      <c r="BD162" s="998"/>
      <c r="BE162" s="998"/>
      <c r="BF162" s="998"/>
      <c r="BG162" s="998"/>
      <c r="BL162" s="888"/>
      <c r="BM162" s="888"/>
      <c r="BN162" s="888"/>
      <c r="BO162" s="888"/>
      <c r="BP162" s="888"/>
      <c r="BQ162" s="888"/>
      <c r="BT162" s="802">
        <f t="shared" si="40"/>
        <v>96</v>
      </c>
      <c r="BU162" s="802">
        <f t="shared" si="41"/>
        <v>0</v>
      </c>
      <c r="BV162" s="291">
        <f t="shared" si="42"/>
        <v>821586</v>
      </c>
      <c r="BW162" s="888"/>
      <c r="BX162" s="888"/>
      <c r="BY162" s="888">
        <f t="shared" si="45"/>
        <v>38414</v>
      </c>
      <c r="BZ162" s="888"/>
      <c r="CA162" s="888"/>
      <c r="CF162" s="1056"/>
      <c r="CG162" s="1056"/>
      <c r="CH162" s="1056"/>
      <c r="CI162" s="1056"/>
      <c r="CJ162" s="1056"/>
      <c r="CK162" s="1056"/>
      <c r="CL162" s="1056"/>
      <c r="CM162" s="1056"/>
      <c r="CN162" s="1056"/>
      <c r="CO162" s="1056"/>
      <c r="CP162" s="1056"/>
      <c r="CQ162" s="1056"/>
      <c r="CR162" s="1056"/>
      <c r="CS162" s="1056"/>
      <c r="CT162" s="1056"/>
      <c r="CU162" s="1056"/>
      <c r="CV162" s="1056"/>
      <c r="CW162" s="1056"/>
      <c r="CX162" s="1056"/>
      <c r="CY162" s="1056"/>
      <c r="CZ162" s="1056"/>
      <c r="DA162" s="1056"/>
    </row>
    <row r="163" s="802" customFormat="1" ht="31" hidden="1" customHeight="1" spans="1:105">
      <c r="A163" s="997">
        <v>45986</v>
      </c>
      <c r="B163" s="871" t="s">
        <v>199</v>
      </c>
      <c r="C163" s="998" t="s">
        <v>84</v>
      </c>
      <c r="D163" s="802">
        <v>4500186880</v>
      </c>
      <c r="E163" s="830">
        <v>7137242752</v>
      </c>
      <c r="F163" s="802" t="s">
        <v>850</v>
      </c>
      <c r="G163" s="989" t="s">
        <v>823</v>
      </c>
      <c r="H163" s="916" t="s">
        <v>824</v>
      </c>
      <c r="I163" s="916">
        <v>3450</v>
      </c>
      <c r="J163" s="916">
        <v>0</v>
      </c>
      <c r="K163" s="916">
        <v>30</v>
      </c>
      <c r="L163" s="1011">
        <f t="shared" si="52"/>
        <v>115</v>
      </c>
      <c r="M163" s="843">
        <v>46031</v>
      </c>
      <c r="N163" s="843">
        <v>46027</v>
      </c>
      <c r="O163" s="830" t="s">
        <v>851</v>
      </c>
      <c r="P163" s="1013" t="s">
        <v>46</v>
      </c>
      <c r="Q163" s="830"/>
      <c r="R163" s="855">
        <v>45988</v>
      </c>
      <c r="S163" s="855" t="s">
        <v>58</v>
      </c>
      <c r="T163" s="855" t="s">
        <v>836</v>
      </c>
      <c r="U163" s="856" t="s">
        <v>826</v>
      </c>
      <c r="V163" s="1012" t="s">
        <v>207</v>
      </c>
      <c r="W163" s="1032">
        <v>37.4424</v>
      </c>
      <c r="X163" s="1033">
        <f t="shared" si="53"/>
        <v>129176.28</v>
      </c>
      <c r="Y163" s="830"/>
      <c r="Z163" s="989" t="s">
        <v>827</v>
      </c>
      <c r="AA163" s="916" t="s">
        <v>53</v>
      </c>
      <c r="AB163" s="916" t="s">
        <v>54</v>
      </c>
      <c r="AC163" s="830"/>
      <c r="AD163" s="1041">
        <v>3450</v>
      </c>
      <c r="AE163" s="1041">
        <f t="shared" si="54"/>
        <v>0</v>
      </c>
      <c r="AF163" s="1042"/>
      <c r="AG163" s="830" t="s">
        <v>55</v>
      </c>
      <c r="AH163" s="830"/>
      <c r="AI163" s="830">
        <f t="shared" si="48"/>
        <v>3450</v>
      </c>
      <c r="AJ163" s="808">
        <f>I163</f>
        <v>3450</v>
      </c>
      <c r="AK163" s="808"/>
      <c r="AL163" s="808"/>
      <c r="AM163" s="808">
        <f t="shared" si="51"/>
        <v>3450</v>
      </c>
      <c r="BC163" s="998"/>
      <c r="BD163" s="998"/>
      <c r="BE163" s="998"/>
      <c r="BF163" s="998">
        <f>L163</f>
        <v>115</v>
      </c>
      <c r="BG163" s="998"/>
      <c r="BL163" s="888"/>
      <c r="BM163" s="888"/>
      <c r="BN163" s="888"/>
      <c r="BO163" s="888"/>
      <c r="BP163" s="888"/>
      <c r="BQ163" s="888"/>
      <c r="BT163" s="802">
        <f t="shared" si="40"/>
        <v>0</v>
      </c>
      <c r="BU163" s="802">
        <f t="shared" si="41"/>
        <v>0</v>
      </c>
      <c r="BV163" s="291">
        <f t="shared" si="42"/>
        <v>825036</v>
      </c>
      <c r="BW163" s="888"/>
      <c r="BX163" s="888"/>
      <c r="BY163" s="888">
        <f t="shared" si="45"/>
        <v>34964</v>
      </c>
      <c r="BZ163" s="888">
        <f t="shared" ref="BZ163:BZ170" si="55">$BX$1+$BY$1+$BZ$1-BV163</f>
        <v>474964</v>
      </c>
      <c r="CA163" s="888"/>
      <c r="CF163" s="1056"/>
      <c r="CG163" s="1056"/>
      <c r="CH163" s="1056"/>
      <c r="CI163" s="1056"/>
      <c r="CJ163" s="1056"/>
      <c r="CK163" s="1056"/>
      <c r="CL163" s="1056"/>
      <c r="CM163" s="1056"/>
      <c r="CN163" s="1056"/>
      <c r="CO163" s="1056"/>
      <c r="CP163" s="1056"/>
      <c r="CQ163" s="1056"/>
      <c r="CR163" s="1056"/>
      <c r="CS163" s="1056"/>
      <c r="CT163" s="1056"/>
      <c r="CU163" s="1056"/>
      <c r="CV163" s="1056"/>
      <c r="CW163" s="1056"/>
      <c r="CX163" s="1056"/>
      <c r="CY163" s="1056"/>
      <c r="CZ163" s="1056"/>
      <c r="DA163" s="1056"/>
    </row>
    <row r="164" s="802" customFormat="1" ht="31" hidden="1" customHeight="1" spans="1:105">
      <c r="A164" s="997">
        <v>45982</v>
      </c>
      <c r="B164" s="871" t="s">
        <v>715</v>
      </c>
      <c r="C164" s="998" t="s">
        <v>716</v>
      </c>
      <c r="D164" s="802">
        <v>4500186530</v>
      </c>
      <c r="E164" s="830" t="s">
        <v>852</v>
      </c>
      <c r="F164" s="802" t="s">
        <v>853</v>
      </c>
      <c r="G164" s="989" t="s">
        <v>375</v>
      </c>
      <c r="H164" s="1106" t="s">
        <v>376</v>
      </c>
      <c r="I164" s="916">
        <v>12</v>
      </c>
      <c r="J164" s="916">
        <v>0</v>
      </c>
      <c r="K164" s="916">
        <v>12</v>
      </c>
      <c r="L164" s="1011">
        <f t="shared" si="52"/>
        <v>1</v>
      </c>
      <c r="M164" s="843">
        <v>46031</v>
      </c>
      <c r="N164" s="843">
        <v>46027</v>
      </c>
      <c r="O164" s="830"/>
      <c r="P164" s="1013" t="s">
        <v>46</v>
      </c>
      <c r="Q164" s="830"/>
      <c r="R164" s="855">
        <v>45982</v>
      </c>
      <c r="S164" s="855" t="s">
        <v>48</v>
      </c>
      <c r="T164" s="855" t="s">
        <v>854</v>
      </c>
      <c r="U164" s="856" t="s">
        <v>855</v>
      </c>
      <c r="V164" s="1012" t="s">
        <v>721</v>
      </c>
      <c r="W164" s="1032">
        <v>2.8135</v>
      </c>
      <c r="X164" s="1033">
        <f t="shared" si="53"/>
        <v>33.762</v>
      </c>
      <c r="Y164" s="830"/>
      <c r="Z164" s="830" t="s">
        <v>375</v>
      </c>
      <c r="AA164" s="916" t="s">
        <v>53</v>
      </c>
      <c r="AB164" s="916" t="s">
        <v>54</v>
      </c>
      <c r="AC164" s="830"/>
      <c r="AD164" s="1041">
        <v>12</v>
      </c>
      <c r="AE164" s="1041">
        <f t="shared" si="54"/>
        <v>0</v>
      </c>
      <c r="AF164" s="1042"/>
      <c r="AG164" s="830" t="s">
        <v>55</v>
      </c>
      <c r="AH164" s="830"/>
      <c r="AI164" s="830">
        <f>I164*2</f>
        <v>24</v>
      </c>
      <c r="AJ164" s="808"/>
      <c r="AK164" s="808">
        <f>I164*2</f>
        <v>24</v>
      </c>
      <c r="AL164" s="808"/>
      <c r="AM164" s="802">
        <f>I164*2</f>
        <v>24</v>
      </c>
      <c r="BC164" s="998"/>
      <c r="BD164" s="998"/>
      <c r="BE164" s="998"/>
      <c r="BF164" s="998"/>
      <c r="BG164" s="998"/>
      <c r="BH164" s="802">
        <f>I164</f>
        <v>12</v>
      </c>
      <c r="BI164" s="802">
        <f>I164</f>
        <v>12</v>
      </c>
      <c r="BJ164" s="802">
        <f>I164</f>
        <v>12</v>
      </c>
      <c r="BL164" s="888"/>
      <c r="BM164" s="888"/>
      <c r="BN164" s="888"/>
      <c r="BO164" s="888"/>
      <c r="BP164" s="888"/>
      <c r="BQ164" s="888"/>
      <c r="BT164" s="802">
        <f t="shared" si="40"/>
        <v>0</v>
      </c>
      <c r="BU164" s="802">
        <f t="shared" si="41"/>
        <v>0</v>
      </c>
      <c r="BV164" s="291">
        <f t="shared" si="42"/>
        <v>825060</v>
      </c>
      <c r="BW164" s="888"/>
      <c r="BX164" s="888"/>
      <c r="BY164" s="888">
        <f t="shared" si="45"/>
        <v>34940</v>
      </c>
      <c r="BZ164" s="888">
        <f t="shared" si="55"/>
        <v>474940</v>
      </c>
      <c r="CA164" s="888"/>
      <c r="CF164" s="1056"/>
      <c r="CG164" s="1056"/>
      <c r="CH164" s="1056"/>
      <c r="CI164" s="1056"/>
      <c r="CJ164" s="1056"/>
      <c r="CK164" s="1056"/>
      <c r="CL164" s="1056"/>
      <c r="CM164" s="1056"/>
      <c r="CN164" s="1056"/>
      <c r="CO164" s="1056"/>
      <c r="CP164" s="1056"/>
      <c r="CQ164" s="1056"/>
      <c r="CR164" s="1056"/>
      <c r="CS164" s="1056"/>
      <c r="CT164" s="1056"/>
      <c r="CU164" s="1056"/>
      <c r="CV164" s="1056"/>
      <c r="CW164" s="1056"/>
      <c r="CX164" s="1056"/>
      <c r="CY164" s="1056"/>
      <c r="CZ164" s="1056"/>
      <c r="DA164" s="1056"/>
    </row>
    <row r="165" s="802" customFormat="1" ht="31" hidden="1" customHeight="1" spans="1:105">
      <c r="A165" s="997">
        <v>45986</v>
      </c>
      <c r="B165" s="871" t="s">
        <v>199</v>
      </c>
      <c r="C165" s="998" t="s">
        <v>84</v>
      </c>
      <c r="D165" s="802">
        <v>4500186881</v>
      </c>
      <c r="E165" s="830">
        <v>7137242751</v>
      </c>
      <c r="F165" s="802" t="s">
        <v>856</v>
      </c>
      <c r="G165" s="989" t="s">
        <v>823</v>
      </c>
      <c r="H165" s="916" t="s">
        <v>824</v>
      </c>
      <c r="I165" s="916">
        <v>6210</v>
      </c>
      <c r="J165" s="916">
        <v>0</v>
      </c>
      <c r="K165" s="916">
        <v>30</v>
      </c>
      <c r="L165" s="1011">
        <f t="shared" si="52"/>
        <v>207</v>
      </c>
      <c r="M165" s="843">
        <v>46034</v>
      </c>
      <c r="N165" s="843">
        <v>46030</v>
      </c>
      <c r="O165" s="830" t="s">
        <v>857</v>
      </c>
      <c r="P165" s="1013" t="s">
        <v>46</v>
      </c>
      <c r="Q165" s="830"/>
      <c r="R165" s="855">
        <v>45988</v>
      </c>
      <c r="S165" s="855" t="s">
        <v>58</v>
      </c>
      <c r="T165" s="855" t="s">
        <v>836</v>
      </c>
      <c r="U165" s="856" t="s">
        <v>826</v>
      </c>
      <c r="V165" s="1012" t="s">
        <v>207</v>
      </c>
      <c r="W165" s="1032">
        <v>37.3398</v>
      </c>
      <c r="X165" s="1033">
        <f t="shared" si="53"/>
        <v>231880.158</v>
      </c>
      <c r="Y165" s="830"/>
      <c r="Z165" s="989" t="s">
        <v>827</v>
      </c>
      <c r="AA165" s="916" t="s">
        <v>53</v>
      </c>
      <c r="AB165" s="916" t="s">
        <v>54</v>
      </c>
      <c r="AC165" s="830"/>
      <c r="AD165" s="1041">
        <v>6210</v>
      </c>
      <c r="AE165" s="1041">
        <f t="shared" si="54"/>
        <v>0</v>
      </c>
      <c r="AF165" s="1042"/>
      <c r="AG165" s="830" t="s">
        <v>55</v>
      </c>
      <c r="AH165" s="830"/>
      <c r="AI165" s="830">
        <f>I165</f>
        <v>6210</v>
      </c>
      <c r="AJ165" s="808">
        <f t="shared" ref="AJ165:AJ170" si="56">I165</f>
        <v>6210</v>
      </c>
      <c r="AK165" s="808"/>
      <c r="AL165" s="808"/>
      <c r="AM165" s="808">
        <f t="shared" ref="AM165:AM170" si="57">I165</f>
        <v>6210</v>
      </c>
      <c r="BC165" s="998"/>
      <c r="BD165" s="998"/>
      <c r="BE165" s="998"/>
      <c r="BF165" s="998">
        <f>L165</f>
        <v>207</v>
      </c>
      <c r="BG165" s="998"/>
      <c r="BL165" s="888"/>
      <c r="BM165" s="888"/>
      <c r="BN165" s="888"/>
      <c r="BO165" s="888"/>
      <c r="BP165" s="888"/>
      <c r="BQ165" s="888"/>
      <c r="BT165" s="802">
        <f t="shared" si="40"/>
        <v>0</v>
      </c>
      <c r="BU165" s="802">
        <f t="shared" si="41"/>
        <v>0</v>
      </c>
      <c r="BV165" s="291">
        <f t="shared" si="42"/>
        <v>831270</v>
      </c>
      <c r="BW165" s="888"/>
      <c r="BX165" s="888"/>
      <c r="BY165" s="888">
        <f t="shared" si="45"/>
        <v>28730</v>
      </c>
      <c r="BZ165" s="888">
        <f t="shared" si="55"/>
        <v>468730</v>
      </c>
      <c r="CA165" s="888"/>
      <c r="CF165" s="1056"/>
      <c r="CG165" s="1056"/>
      <c r="CH165" s="1056"/>
      <c r="CI165" s="1056"/>
      <c r="CJ165" s="1056"/>
      <c r="CK165" s="1056"/>
      <c r="CL165" s="1056"/>
      <c r="CM165" s="1056"/>
      <c r="CN165" s="1056"/>
      <c r="CO165" s="1056"/>
      <c r="CP165" s="1056"/>
      <c r="CQ165" s="1056"/>
      <c r="CR165" s="1056"/>
      <c r="CS165" s="1056"/>
      <c r="CT165" s="1056"/>
      <c r="CU165" s="1056"/>
      <c r="CV165" s="1056"/>
      <c r="CW165" s="1056"/>
      <c r="CX165" s="1056"/>
      <c r="CY165" s="1056"/>
      <c r="CZ165" s="1056"/>
      <c r="DA165" s="1056"/>
    </row>
    <row r="166" s="802" customFormat="1" ht="31" hidden="1" customHeight="1" spans="1:105">
      <c r="A166" s="997">
        <v>45988</v>
      </c>
      <c r="B166" s="871" t="s">
        <v>199</v>
      </c>
      <c r="C166" s="998" t="s">
        <v>84</v>
      </c>
      <c r="D166" s="802">
        <v>4500187235</v>
      </c>
      <c r="E166" s="1297" t="s">
        <v>858</v>
      </c>
      <c r="F166" s="802" t="s">
        <v>859</v>
      </c>
      <c r="G166" s="989" t="s">
        <v>202</v>
      </c>
      <c r="H166" s="916" t="s">
        <v>203</v>
      </c>
      <c r="I166" s="916">
        <v>960</v>
      </c>
      <c r="J166" s="916">
        <v>0</v>
      </c>
      <c r="K166" s="916">
        <v>16</v>
      </c>
      <c r="L166" s="1011">
        <f t="shared" si="52"/>
        <v>60</v>
      </c>
      <c r="M166" s="843">
        <v>46034</v>
      </c>
      <c r="N166" s="843">
        <f>M166-4</f>
        <v>46030</v>
      </c>
      <c r="O166" s="830" t="s">
        <v>857</v>
      </c>
      <c r="P166" s="1013" t="s">
        <v>46</v>
      </c>
      <c r="Q166" s="830"/>
      <c r="R166" s="855" t="s">
        <v>251</v>
      </c>
      <c r="S166" s="855" t="s">
        <v>58</v>
      </c>
      <c r="T166" s="855" t="s">
        <v>420</v>
      </c>
      <c r="U166" s="856" t="s">
        <v>252</v>
      </c>
      <c r="V166" s="1012" t="s">
        <v>207</v>
      </c>
      <c r="W166" s="1032">
        <v>1.1968</v>
      </c>
      <c r="X166" s="1033">
        <f t="shared" si="53"/>
        <v>1148.928</v>
      </c>
      <c r="Y166" s="830"/>
      <c r="Z166" s="989" t="s">
        <v>202</v>
      </c>
      <c r="AA166" s="916" t="s">
        <v>53</v>
      </c>
      <c r="AB166" s="916" t="s">
        <v>54</v>
      </c>
      <c r="AC166" s="830"/>
      <c r="AD166" s="1041">
        <v>960</v>
      </c>
      <c r="AE166" s="1041">
        <f t="shared" si="54"/>
        <v>0</v>
      </c>
      <c r="AF166" s="1042"/>
      <c r="AG166" s="830" t="s">
        <v>55</v>
      </c>
      <c r="AH166" s="830"/>
      <c r="AI166" s="830">
        <f t="shared" ref="AI166:AI175" si="58">I166</f>
        <v>960</v>
      </c>
      <c r="AJ166" s="808">
        <f t="shared" si="56"/>
        <v>960</v>
      </c>
      <c r="AK166" s="808"/>
      <c r="AL166" s="808"/>
      <c r="AM166" s="808">
        <f t="shared" si="57"/>
        <v>960</v>
      </c>
      <c r="AW166" s="802">
        <f>I166/16</f>
        <v>60</v>
      </c>
      <c r="BC166" s="998"/>
      <c r="BD166" s="998"/>
      <c r="BE166" s="998"/>
      <c r="BF166" s="998"/>
      <c r="BG166" s="998"/>
      <c r="BL166" s="888"/>
      <c r="BM166" s="888"/>
      <c r="BN166" s="888"/>
      <c r="BO166" s="888"/>
      <c r="BP166" s="888"/>
      <c r="BQ166" s="888"/>
      <c r="BT166" s="802">
        <f t="shared" si="40"/>
        <v>60</v>
      </c>
      <c r="BU166" s="802">
        <f t="shared" si="41"/>
        <v>0</v>
      </c>
      <c r="BV166" s="291">
        <f t="shared" si="42"/>
        <v>832230</v>
      </c>
      <c r="BW166" s="888"/>
      <c r="BX166" s="888"/>
      <c r="BY166" s="888">
        <f t="shared" si="45"/>
        <v>27770</v>
      </c>
      <c r="BZ166" s="888">
        <f t="shared" si="55"/>
        <v>467770</v>
      </c>
      <c r="CA166" s="888"/>
      <c r="CF166" s="1056"/>
      <c r="CG166" s="1056"/>
      <c r="CH166" s="1056"/>
      <c r="CI166" s="1056"/>
      <c r="CJ166" s="1056"/>
      <c r="CK166" s="1056"/>
      <c r="CL166" s="1056"/>
      <c r="CM166" s="1056"/>
      <c r="CN166" s="1056"/>
      <c r="CO166" s="1056"/>
      <c r="CP166" s="1056"/>
      <c r="CQ166" s="1056"/>
      <c r="CR166" s="1056"/>
      <c r="CS166" s="1056"/>
      <c r="CT166" s="1056"/>
      <c r="CU166" s="1056"/>
      <c r="CV166" s="1056"/>
      <c r="CW166" s="1056"/>
      <c r="CX166" s="1056"/>
      <c r="CY166" s="1056"/>
      <c r="CZ166" s="1056"/>
      <c r="DA166" s="1056"/>
    </row>
    <row r="167" s="802" customFormat="1" ht="31" hidden="1" customHeight="1" spans="1:105">
      <c r="A167" s="997">
        <v>45988</v>
      </c>
      <c r="B167" s="871" t="s">
        <v>199</v>
      </c>
      <c r="C167" s="998" t="s">
        <v>84</v>
      </c>
      <c r="D167" s="802">
        <v>4500187235</v>
      </c>
      <c r="E167" s="1297" t="s">
        <v>860</v>
      </c>
      <c r="F167" s="802" t="s">
        <v>861</v>
      </c>
      <c r="G167" s="989" t="s">
        <v>202</v>
      </c>
      <c r="H167" s="916" t="s">
        <v>203</v>
      </c>
      <c r="I167" s="916">
        <v>960</v>
      </c>
      <c r="J167" s="916">
        <v>0</v>
      </c>
      <c r="K167" s="916">
        <v>16</v>
      </c>
      <c r="L167" s="1011">
        <f t="shared" si="52"/>
        <v>60</v>
      </c>
      <c r="M167" s="843">
        <v>46034</v>
      </c>
      <c r="N167" s="843">
        <f>M167-4</f>
        <v>46030</v>
      </c>
      <c r="O167" s="830" t="s">
        <v>862</v>
      </c>
      <c r="P167" s="1013" t="s">
        <v>46</v>
      </c>
      <c r="Q167" s="830"/>
      <c r="R167" s="855" t="s">
        <v>251</v>
      </c>
      <c r="S167" s="855" t="s">
        <v>58</v>
      </c>
      <c r="T167" s="855" t="s">
        <v>420</v>
      </c>
      <c r="U167" s="856" t="s">
        <v>252</v>
      </c>
      <c r="V167" s="1012" t="s">
        <v>207</v>
      </c>
      <c r="W167" s="1032">
        <v>1.1968</v>
      </c>
      <c r="X167" s="1033">
        <f t="shared" si="53"/>
        <v>1148.928</v>
      </c>
      <c r="Y167" s="830"/>
      <c r="Z167" s="989" t="s">
        <v>202</v>
      </c>
      <c r="AA167" s="916" t="s">
        <v>53</v>
      </c>
      <c r="AB167" s="916" t="s">
        <v>54</v>
      </c>
      <c r="AC167" s="830"/>
      <c r="AD167" s="1041">
        <v>960</v>
      </c>
      <c r="AE167" s="1041">
        <f t="shared" si="54"/>
        <v>0</v>
      </c>
      <c r="AF167" s="1042"/>
      <c r="AG167" s="830" t="s">
        <v>55</v>
      </c>
      <c r="AH167" s="830"/>
      <c r="AI167" s="830">
        <f t="shared" si="58"/>
        <v>960</v>
      </c>
      <c r="AJ167" s="808">
        <f t="shared" si="56"/>
        <v>960</v>
      </c>
      <c r="AK167" s="808"/>
      <c r="AL167" s="808"/>
      <c r="AM167" s="808">
        <f t="shared" si="57"/>
        <v>960</v>
      </c>
      <c r="AW167" s="802">
        <f>I167/16</f>
        <v>60</v>
      </c>
      <c r="BC167" s="998"/>
      <c r="BD167" s="998"/>
      <c r="BE167" s="998"/>
      <c r="BF167" s="998"/>
      <c r="BG167" s="998"/>
      <c r="BL167" s="888"/>
      <c r="BM167" s="888"/>
      <c r="BN167" s="888"/>
      <c r="BO167" s="888"/>
      <c r="BP167" s="888"/>
      <c r="BQ167" s="888"/>
      <c r="BT167" s="802">
        <f t="shared" si="40"/>
        <v>60</v>
      </c>
      <c r="BU167" s="802">
        <f t="shared" si="41"/>
        <v>0</v>
      </c>
      <c r="BV167" s="291">
        <f t="shared" si="42"/>
        <v>833190</v>
      </c>
      <c r="BW167" s="888"/>
      <c r="BX167" s="888"/>
      <c r="BY167" s="888">
        <f t="shared" si="45"/>
        <v>26810</v>
      </c>
      <c r="BZ167" s="888">
        <f t="shared" si="55"/>
        <v>466810</v>
      </c>
      <c r="CA167" s="888"/>
      <c r="CF167" s="1056"/>
      <c r="CG167" s="1056"/>
      <c r="CH167" s="1056"/>
      <c r="CI167" s="1056"/>
      <c r="CJ167" s="1056"/>
      <c r="CK167" s="1056"/>
      <c r="CL167" s="1056"/>
      <c r="CM167" s="1056"/>
      <c r="CN167" s="1056"/>
      <c r="CO167" s="1056"/>
      <c r="CP167" s="1056"/>
      <c r="CQ167" s="1056"/>
      <c r="CR167" s="1056"/>
      <c r="CS167" s="1056"/>
      <c r="CT167" s="1056"/>
      <c r="CU167" s="1056"/>
      <c r="CV167" s="1056"/>
      <c r="CW167" s="1056"/>
      <c r="CX167" s="1056"/>
      <c r="CY167" s="1056"/>
      <c r="CZ167" s="1056"/>
      <c r="DA167" s="1056"/>
    </row>
    <row r="168" s="802" customFormat="1" ht="31" hidden="1" customHeight="1" spans="1:105">
      <c r="A168" s="997">
        <v>45988</v>
      </c>
      <c r="B168" s="871" t="s">
        <v>199</v>
      </c>
      <c r="C168" s="998" t="s">
        <v>84</v>
      </c>
      <c r="D168" s="802">
        <v>4500187235</v>
      </c>
      <c r="E168" s="1297" t="s">
        <v>863</v>
      </c>
      <c r="F168" s="802" t="s">
        <v>864</v>
      </c>
      <c r="G168" s="989" t="s">
        <v>202</v>
      </c>
      <c r="H168" s="916" t="s">
        <v>203</v>
      </c>
      <c r="I168" s="916">
        <v>960</v>
      </c>
      <c r="J168" s="916">
        <v>0</v>
      </c>
      <c r="K168" s="916">
        <v>16</v>
      </c>
      <c r="L168" s="1011">
        <f t="shared" si="52"/>
        <v>60</v>
      </c>
      <c r="M168" s="843">
        <v>46034</v>
      </c>
      <c r="N168" s="843">
        <f>M168-4</f>
        <v>46030</v>
      </c>
      <c r="O168" s="830" t="s">
        <v>857</v>
      </c>
      <c r="P168" s="1013" t="s">
        <v>46</v>
      </c>
      <c r="Q168" s="830"/>
      <c r="R168" s="855" t="s">
        <v>251</v>
      </c>
      <c r="S168" s="855" t="s">
        <v>58</v>
      </c>
      <c r="T168" s="855" t="s">
        <v>420</v>
      </c>
      <c r="U168" s="856" t="s">
        <v>252</v>
      </c>
      <c r="V168" s="1012" t="s">
        <v>207</v>
      </c>
      <c r="W168" s="1032">
        <v>1.1968</v>
      </c>
      <c r="X168" s="1033">
        <f t="shared" si="53"/>
        <v>1148.928</v>
      </c>
      <c r="Y168" s="830"/>
      <c r="Z168" s="989" t="s">
        <v>202</v>
      </c>
      <c r="AA168" s="916" t="s">
        <v>53</v>
      </c>
      <c r="AB168" s="916" t="s">
        <v>54</v>
      </c>
      <c r="AC168" s="830"/>
      <c r="AD168" s="1041">
        <v>960</v>
      </c>
      <c r="AE168" s="1041">
        <f t="shared" si="54"/>
        <v>0</v>
      </c>
      <c r="AF168" s="1042"/>
      <c r="AG168" s="830" t="s">
        <v>55</v>
      </c>
      <c r="AH168" s="830"/>
      <c r="AI168" s="830">
        <f t="shared" si="58"/>
        <v>960</v>
      </c>
      <c r="AJ168" s="808">
        <f t="shared" si="56"/>
        <v>960</v>
      </c>
      <c r="AK168" s="808"/>
      <c r="AL168" s="808"/>
      <c r="AM168" s="808">
        <f t="shared" si="57"/>
        <v>960</v>
      </c>
      <c r="AW168" s="802">
        <f>I168/16</f>
        <v>60</v>
      </c>
      <c r="BC168" s="998"/>
      <c r="BD168" s="998"/>
      <c r="BE168" s="998"/>
      <c r="BF168" s="998"/>
      <c r="BG168" s="998"/>
      <c r="BL168" s="888"/>
      <c r="BM168" s="888"/>
      <c r="BN168" s="888"/>
      <c r="BO168" s="888"/>
      <c r="BP168" s="888"/>
      <c r="BQ168" s="888"/>
      <c r="BT168" s="802">
        <f t="shared" si="40"/>
        <v>60</v>
      </c>
      <c r="BU168" s="802">
        <f t="shared" si="41"/>
        <v>0</v>
      </c>
      <c r="BV168" s="291">
        <f t="shared" si="42"/>
        <v>834150</v>
      </c>
      <c r="BW168" s="888"/>
      <c r="BX168" s="888"/>
      <c r="BY168" s="888">
        <f t="shared" si="45"/>
        <v>25850</v>
      </c>
      <c r="BZ168" s="888">
        <f t="shared" si="55"/>
        <v>465850</v>
      </c>
      <c r="CA168" s="888"/>
      <c r="CF168" s="1056"/>
      <c r="CG168" s="1056"/>
      <c r="CH168" s="1056"/>
      <c r="CI168" s="1056"/>
      <c r="CJ168" s="1056"/>
      <c r="CK168" s="1056"/>
      <c r="CL168" s="1056"/>
      <c r="CM168" s="1056"/>
      <c r="CN168" s="1056"/>
      <c r="CO168" s="1056"/>
      <c r="CP168" s="1056"/>
      <c r="CQ168" s="1056"/>
      <c r="CR168" s="1056"/>
      <c r="CS168" s="1056"/>
      <c r="CT168" s="1056"/>
      <c r="CU168" s="1056"/>
      <c r="CV168" s="1056"/>
      <c r="CW168" s="1056"/>
      <c r="CX168" s="1056"/>
      <c r="CY168" s="1056"/>
      <c r="CZ168" s="1056"/>
      <c r="DA168" s="1056"/>
    </row>
    <row r="169" s="802" customFormat="1" ht="31" hidden="1" customHeight="1" spans="1:105">
      <c r="A169" s="997">
        <v>45988</v>
      </c>
      <c r="B169" s="871" t="s">
        <v>199</v>
      </c>
      <c r="C169" s="998" t="s">
        <v>84</v>
      </c>
      <c r="D169" s="802">
        <v>4500187235</v>
      </c>
      <c r="E169" s="1297" t="s">
        <v>865</v>
      </c>
      <c r="F169" s="802" t="s">
        <v>866</v>
      </c>
      <c r="G169" s="989" t="s">
        <v>202</v>
      </c>
      <c r="H169" s="916" t="s">
        <v>203</v>
      </c>
      <c r="I169" s="916">
        <v>960</v>
      </c>
      <c r="J169" s="916">
        <v>0</v>
      </c>
      <c r="K169" s="916">
        <v>16</v>
      </c>
      <c r="L169" s="1011">
        <f t="shared" si="52"/>
        <v>60</v>
      </c>
      <c r="M169" s="843">
        <v>46034</v>
      </c>
      <c r="N169" s="843">
        <f>M169-4</f>
        <v>46030</v>
      </c>
      <c r="O169" s="830" t="s">
        <v>862</v>
      </c>
      <c r="P169" s="1013" t="s">
        <v>46</v>
      </c>
      <c r="Q169" s="830"/>
      <c r="R169" s="855" t="s">
        <v>251</v>
      </c>
      <c r="S169" s="855" t="s">
        <v>58</v>
      </c>
      <c r="T169" s="855" t="s">
        <v>420</v>
      </c>
      <c r="U169" s="856" t="s">
        <v>252</v>
      </c>
      <c r="V169" s="1012" t="s">
        <v>207</v>
      </c>
      <c r="W169" s="1032">
        <v>1.1968</v>
      </c>
      <c r="X169" s="1033">
        <f t="shared" si="53"/>
        <v>1148.928</v>
      </c>
      <c r="Y169" s="830"/>
      <c r="Z169" s="989" t="s">
        <v>202</v>
      </c>
      <c r="AA169" s="916" t="s">
        <v>53</v>
      </c>
      <c r="AB169" s="916" t="s">
        <v>54</v>
      </c>
      <c r="AC169" s="830"/>
      <c r="AD169" s="1041">
        <v>960</v>
      </c>
      <c r="AE169" s="1041">
        <f t="shared" si="54"/>
        <v>0</v>
      </c>
      <c r="AF169" s="1042"/>
      <c r="AG169" s="830" t="s">
        <v>55</v>
      </c>
      <c r="AH169" s="830"/>
      <c r="AI169" s="830">
        <f t="shared" si="58"/>
        <v>960</v>
      </c>
      <c r="AJ169" s="808">
        <f t="shared" si="56"/>
        <v>960</v>
      </c>
      <c r="AK169" s="808"/>
      <c r="AL169" s="808"/>
      <c r="AM169" s="808">
        <f t="shared" si="57"/>
        <v>960</v>
      </c>
      <c r="AW169" s="802">
        <f>I169/16</f>
        <v>60</v>
      </c>
      <c r="BC169" s="998"/>
      <c r="BD169" s="998"/>
      <c r="BE169" s="998"/>
      <c r="BF169" s="998"/>
      <c r="BG169" s="998"/>
      <c r="BL169" s="888"/>
      <c r="BM169" s="888"/>
      <c r="BN169" s="888"/>
      <c r="BO169" s="888"/>
      <c r="BP169" s="888"/>
      <c r="BQ169" s="888"/>
      <c r="BT169" s="802">
        <f t="shared" si="40"/>
        <v>60</v>
      </c>
      <c r="BU169" s="802">
        <f t="shared" si="41"/>
        <v>0</v>
      </c>
      <c r="BV169" s="291">
        <f t="shared" si="42"/>
        <v>835110</v>
      </c>
      <c r="BW169" s="888"/>
      <c r="BX169" s="888"/>
      <c r="BY169" s="888">
        <f t="shared" si="45"/>
        <v>24890</v>
      </c>
      <c r="BZ169" s="888">
        <f t="shared" si="55"/>
        <v>464890</v>
      </c>
      <c r="CA169" s="888"/>
      <c r="CF169" s="1056"/>
      <c r="CG169" s="1056"/>
      <c r="CH169" s="1056"/>
      <c r="CI169" s="1056"/>
      <c r="CJ169" s="1056"/>
      <c r="CK169" s="1056"/>
      <c r="CL169" s="1056"/>
      <c r="CM169" s="1056"/>
      <c r="CN169" s="1056"/>
      <c r="CO169" s="1056"/>
      <c r="CP169" s="1056"/>
      <c r="CQ169" s="1056"/>
      <c r="CR169" s="1056"/>
      <c r="CS169" s="1056"/>
      <c r="CT169" s="1056"/>
      <c r="CU169" s="1056"/>
      <c r="CV169" s="1056"/>
      <c r="CW169" s="1056"/>
      <c r="CX169" s="1056"/>
      <c r="CY169" s="1056"/>
      <c r="CZ169" s="1056"/>
      <c r="DA169" s="1056"/>
    </row>
    <row r="170" s="802" customFormat="1" ht="31" hidden="1" customHeight="1" spans="1:105">
      <c r="A170" s="997">
        <v>45988</v>
      </c>
      <c r="B170" s="871" t="s">
        <v>199</v>
      </c>
      <c r="C170" s="998" t="s">
        <v>84</v>
      </c>
      <c r="D170" s="802">
        <v>4500187235</v>
      </c>
      <c r="E170" s="1297" t="s">
        <v>867</v>
      </c>
      <c r="F170" s="802" t="s">
        <v>868</v>
      </c>
      <c r="G170" s="989" t="s">
        <v>202</v>
      </c>
      <c r="H170" s="916" t="s">
        <v>203</v>
      </c>
      <c r="I170" s="916">
        <v>960</v>
      </c>
      <c r="J170" s="916">
        <v>0</v>
      </c>
      <c r="K170" s="916">
        <v>16</v>
      </c>
      <c r="L170" s="1011">
        <f t="shared" si="52"/>
        <v>60</v>
      </c>
      <c r="M170" s="843">
        <v>46034</v>
      </c>
      <c r="N170" s="843">
        <f>M170-4</f>
        <v>46030</v>
      </c>
      <c r="O170" s="830" t="s">
        <v>862</v>
      </c>
      <c r="P170" s="1013" t="s">
        <v>46</v>
      </c>
      <c r="Q170" s="830"/>
      <c r="R170" s="855" t="s">
        <v>251</v>
      </c>
      <c r="S170" s="855" t="s">
        <v>58</v>
      </c>
      <c r="T170" s="855" t="s">
        <v>420</v>
      </c>
      <c r="U170" s="856" t="s">
        <v>252</v>
      </c>
      <c r="V170" s="1012" t="s">
        <v>207</v>
      </c>
      <c r="W170" s="1032">
        <v>1.1968</v>
      </c>
      <c r="X170" s="1033">
        <f t="shared" si="53"/>
        <v>1148.928</v>
      </c>
      <c r="Y170" s="830"/>
      <c r="Z170" s="989" t="s">
        <v>202</v>
      </c>
      <c r="AA170" s="916" t="s">
        <v>53</v>
      </c>
      <c r="AB170" s="916" t="s">
        <v>54</v>
      </c>
      <c r="AC170" s="830"/>
      <c r="AD170" s="1041">
        <v>960</v>
      </c>
      <c r="AE170" s="1041">
        <f t="shared" si="54"/>
        <v>0</v>
      </c>
      <c r="AF170" s="1042"/>
      <c r="AG170" s="830" t="s">
        <v>55</v>
      </c>
      <c r="AH170" s="830"/>
      <c r="AI170" s="830">
        <f t="shared" si="58"/>
        <v>960</v>
      </c>
      <c r="AJ170" s="808">
        <f t="shared" si="56"/>
        <v>960</v>
      </c>
      <c r="AK170" s="808"/>
      <c r="AL170" s="808"/>
      <c r="AM170" s="808">
        <f t="shared" si="57"/>
        <v>960</v>
      </c>
      <c r="AW170" s="802">
        <f>I170/16</f>
        <v>60</v>
      </c>
      <c r="BC170" s="998"/>
      <c r="BD170" s="998"/>
      <c r="BE170" s="998"/>
      <c r="BF170" s="998"/>
      <c r="BG170" s="998"/>
      <c r="BL170" s="888"/>
      <c r="BM170" s="888"/>
      <c r="BN170" s="888"/>
      <c r="BO170" s="888"/>
      <c r="BP170" s="888"/>
      <c r="BQ170" s="888"/>
      <c r="BT170" s="802">
        <f t="shared" si="40"/>
        <v>60</v>
      </c>
      <c r="BU170" s="802">
        <f t="shared" si="41"/>
        <v>0</v>
      </c>
      <c r="BV170" s="291">
        <f t="shared" si="42"/>
        <v>836070</v>
      </c>
      <c r="BW170" s="888"/>
      <c r="BX170" s="888"/>
      <c r="BY170" s="888">
        <f t="shared" si="45"/>
        <v>23930</v>
      </c>
      <c r="BZ170" s="888">
        <f t="shared" si="55"/>
        <v>463930</v>
      </c>
      <c r="CA170" s="888"/>
      <c r="CF170" s="1056"/>
      <c r="CG170" s="1056"/>
      <c r="CH170" s="1056"/>
      <c r="CI170" s="1056"/>
      <c r="CJ170" s="1056"/>
      <c r="CK170" s="1056"/>
      <c r="CL170" s="1056"/>
      <c r="CM170" s="1056"/>
      <c r="CN170" s="1056"/>
      <c r="CO170" s="1056"/>
      <c r="CP170" s="1056"/>
      <c r="CQ170" s="1056"/>
      <c r="CR170" s="1056"/>
      <c r="CS170" s="1056"/>
      <c r="CT170" s="1056"/>
      <c r="CU170" s="1056"/>
      <c r="CV170" s="1056"/>
      <c r="CW170" s="1056"/>
      <c r="CX170" s="1056"/>
      <c r="CY170" s="1056"/>
      <c r="CZ170" s="1056"/>
      <c r="DA170" s="1056"/>
    </row>
    <row r="171" s="802" customFormat="1" ht="31" hidden="1" customHeight="1" spans="1:105">
      <c r="A171" s="997">
        <v>46028</v>
      </c>
      <c r="B171" s="871"/>
      <c r="C171" s="998"/>
      <c r="D171" s="802" t="s">
        <v>869</v>
      </c>
      <c r="E171" s="830"/>
      <c r="F171" s="802" t="s">
        <v>870</v>
      </c>
      <c r="G171" s="989" t="s">
        <v>390</v>
      </c>
      <c r="H171" s="916" t="s">
        <v>871</v>
      </c>
      <c r="I171" s="916">
        <v>8</v>
      </c>
      <c r="J171" s="916">
        <v>0</v>
      </c>
      <c r="K171" s="916">
        <v>60</v>
      </c>
      <c r="L171" s="1011">
        <f t="shared" si="52"/>
        <v>0.133333333333333</v>
      </c>
      <c r="M171" s="843">
        <v>46036</v>
      </c>
      <c r="N171" s="843">
        <v>46032</v>
      </c>
      <c r="O171" s="830"/>
      <c r="P171" s="1013"/>
      <c r="Q171" s="830"/>
      <c r="R171" s="855"/>
      <c r="S171" s="855"/>
      <c r="T171" s="855"/>
      <c r="U171" s="856" t="s">
        <v>872</v>
      </c>
      <c r="V171" s="1012"/>
      <c r="W171" s="1032"/>
      <c r="X171" s="1033"/>
      <c r="Y171" s="830"/>
      <c r="Z171" s="989"/>
      <c r="AA171" s="916"/>
      <c r="AB171" s="916"/>
      <c r="AC171" s="830"/>
      <c r="AD171" s="1041">
        <v>8</v>
      </c>
      <c r="AE171" s="1041">
        <v>0</v>
      </c>
      <c r="AF171" s="1042"/>
      <c r="AG171" s="830"/>
      <c r="AH171" s="830"/>
      <c r="AI171" s="830">
        <f t="shared" si="58"/>
        <v>8</v>
      </c>
      <c r="AJ171" s="808"/>
      <c r="AK171" s="808"/>
      <c r="AL171" s="808"/>
      <c r="AM171" s="808"/>
      <c r="BC171" s="998"/>
      <c r="BD171" s="998"/>
      <c r="BE171" s="998"/>
      <c r="BF171" s="998"/>
      <c r="BG171" s="998"/>
      <c r="BL171" s="888"/>
      <c r="BM171" s="888"/>
      <c r="BN171" s="888"/>
      <c r="BO171" s="888"/>
      <c r="BP171" s="888"/>
      <c r="BQ171" s="888"/>
      <c r="BT171" s="802">
        <f t="shared" si="40"/>
        <v>0</v>
      </c>
      <c r="BU171" s="802">
        <f t="shared" si="41"/>
        <v>0</v>
      </c>
      <c r="BV171" s="291">
        <f t="shared" si="42"/>
        <v>836078</v>
      </c>
      <c r="BW171" s="888"/>
      <c r="BX171" s="888"/>
      <c r="BY171" s="888">
        <f t="shared" si="45"/>
        <v>23922</v>
      </c>
      <c r="BZ171" s="888"/>
      <c r="CA171" s="888"/>
      <c r="CF171" s="1056"/>
      <c r="CG171" s="1056"/>
      <c r="CH171" s="1056"/>
      <c r="CI171" s="1056"/>
      <c r="CJ171" s="1056"/>
      <c r="CK171" s="1056"/>
      <c r="CL171" s="1056"/>
      <c r="CM171" s="1056"/>
      <c r="CN171" s="1056"/>
      <c r="CO171" s="1056"/>
      <c r="CP171" s="1056"/>
      <c r="CQ171" s="1056"/>
      <c r="CR171" s="1056"/>
      <c r="CS171" s="1056"/>
      <c r="CT171" s="1056"/>
      <c r="CU171" s="1056"/>
      <c r="CV171" s="1056"/>
      <c r="CW171" s="1056"/>
      <c r="CX171" s="1056"/>
      <c r="CY171" s="1056"/>
      <c r="CZ171" s="1056"/>
      <c r="DA171" s="1056"/>
    </row>
    <row r="172" s="802" customFormat="1" ht="31" hidden="1" customHeight="1" spans="1:105">
      <c r="A172" s="997">
        <v>45993</v>
      </c>
      <c r="B172" s="871" t="s">
        <v>873</v>
      </c>
      <c r="C172" s="998" t="s">
        <v>759</v>
      </c>
      <c r="D172" s="802">
        <v>4500187623</v>
      </c>
      <c r="E172" s="830">
        <v>4504562690</v>
      </c>
      <c r="F172" s="802" t="s">
        <v>874</v>
      </c>
      <c r="G172" s="989" t="s">
        <v>136</v>
      </c>
      <c r="H172" s="916" t="s">
        <v>137</v>
      </c>
      <c r="I172" s="916">
        <v>7200</v>
      </c>
      <c r="J172" s="916">
        <v>0</v>
      </c>
      <c r="K172" s="916">
        <v>50</v>
      </c>
      <c r="L172" s="1011">
        <f t="shared" si="52"/>
        <v>144</v>
      </c>
      <c r="M172" s="843">
        <v>46037</v>
      </c>
      <c r="N172" s="843">
        <v>46034</v>
      </c>
      <c r="O172" s="830" t="s">
        <v>875</v>
      </c>
      <c r="P172" s="1013" t="s">
        <v>46</v>
      </c>
      <c r="Q172" s="830"/>
      <c r="R172" s="855">
        <v>45999</v>
      </c>
      <c r="S172" s="855" t="s">
        <v>58</v>
      </c>
      <c r="T172" s="855" t="s">
        <v>58</v>
      </c>
      <c r="U172" s="856" t="s">
        <v>876</v>
      </c>
      <c r="V172" s="1012" t="s">
        <v>653</v>
      </c>
      <c r="W172" s="1032">
        <v>1.9208</v>
      </c>
      <c r="X172" s="1033">
        <f>W172*I172</f>
        <v>13829.76</v>
      </c>
      <c r="Y172" s="830"/>
      <c r="Z172" s="989" t="s">
        <v>355</v>
      </c>
      <c r="AA172" s="916" t="s">
        <v>53</v>
      </c>
      <c r="AB172" s="916" t="s">
        <v>54</v>
      </c>
      <c r="AC172" s="830"/>
      <c r="AD172" s="1041">
        <v>7200</v>
      </c>
      <c r="AE172" s="1041">
        <f t="shared" si="54"/>
        <v>0</v>
      </c>
      <c r="AF172" s="1042"/>
      <c r="AG172" s="830" t="s">
        <v>58</v>
      </c>
      <c r="AH172" s="830"/>
      <c r="AI172" s="830">
        <f t="shared" si="58"/>
        <v>7200</v>
      </c>
      <c r="AJ172" s="808"/>
      <c r="AK172" s="808"/>
      <c r="AL172" s="808">
        <f>I172</f>
        <v>7200</v>
      </c>
      <c r="AM172" s="808">
        <f>I172</f>
        <v>7200</v>
      </c>
      <c r="AS172" s="802">
        <f>L172*2</f>
        <v>288</v>
      </c>
      <c r="BC172" s="998"/>
      <c r="BD172" s="998"/>
      <c r="BE172" s="998"/>
      <c r="BF172" s="998"/>
      <c r="BG172" s="998"/>
      <c r="BL172" s="888"/>
      <c r="BM172" s="888"/>
      <c r="BN172" s="888"/>
      <c r="BO172" s="888"/>
      <c r="BP172" s="888"/>
      <c r="BQ172" s="888"/>
      <c r="BT172" s="802">
        <f t="shared" si="40"/>
        <v>288</v>
      </c>
      <c r="BU172" s="802">
        <f t="shared" si="41"/>
        <v>0</v>
      </c>
      <c r="BV172" s="291">
        <f t="shared" si="42"/>
        <v>843278</v>
      </c>
      <c r="BW172" s="888"/>
      <c r="BX172" s="888"/>
      <c r="BY172" s="888">
        <f>$BX$1+$BY$1-BV172</f>
        <v>16722</v>
      </c>
      <c r="BZ172" s="888">
        <f>$BX$1+$BY$1+$BZ$1-BV172</f>
        <v>456722</v>
      </c>
      <c r="CA172" s="888"/>
      <c r="CF172" s="1056"/>
      <c r="CG172" s="1056"/>
      <c r="CH172" s="1056"/>
      <c r="CI172" s="1056"/>
      <c r="CJ172" s="1056"/>
      <c r="CK172" s="1056"/>
      <c r="CL172" s="1056"/>
      <c r="CM172" s="1056"/>
      <c r="CN172" s="1056"/>
      <c r="CO172" s="1056"/>
      <c r="CP172" s="1056"/>
      <c r="CQ172" s="1056"/>
      <c r="CR172" s="1056"/>
      <c r="CS172" s="1056"/>
      <c r="CT172" s="1056"/>
      <c r="CU172" s="1056"/>
      <c r="CV172" s="1056"/>
      <c r="CW172" s="1056"/>
      <c r="CX172" s="1056"/>
      <c r="CY172" s="1056"/>
      <c r="CZ172" s="1056"/>
      <c r="DA172" s="1056"/>
    </row>
    <row r="173" s="802" customFormat="1" ht="31" hidden="1" customHeight="1" spans="1:105">
      <c r="A173" s="997">
        <v>45971</v>
      </c>
      <c r="B173" s="871" t="s">
        <v>877</v>
      </c>
      <c r="C173" s="998" t="s">
        <v>878</v>
      </c>
      <c r="D173" s="802">
        <v>4500185120</v>
      </c>
      <c r="E173" s="830"/>
      <c r="F173" s="802" t="s">
        <v>879</v>
      </c>
      <c r="G173" s="989" t="s">
        <v>136</v>
      </c>
      <c r="H173" s="916" t="s">
        <v>137</v>
      </c>
      <c r="I173" s="916">
        <v>800</v>
      </c>
      <c r="J173" s="916">
        <v>0</v>
      </c>
      <c r="K173" s="916">
        <v>50</v>
      </c>
      <c r="L173" s="1011">
        <f t="shared" si="52"/>
        <v>16</v>
      </c>
      <c r="M173" s="843">
        <v>46037</v>
      </c>
      <c r="N173" s="843">
        <v>46034</v>
      </c>
      <c r="O173" s="830"/>
      <c r="P173" s="1013" t="s">
        <v>46</v>
      </c>
      <c r="Q173" s="830"/>
      <c r="R173" s="855">
        <v>45982</v>
      </c>
      <c r="S173" s="855" t="s">
        <v>847</v>
      </c>
      <c r="T173" s="855" t="s">
        <v>880</v>
      </c>
      <c r="U173" s="856" t="s">
        <v>881</v>
      </c>
      <c r="V173" s="1012" t="s">
        <v>653</v>
      </c>
      <c r="W173" s="1032">
        <v>1.9324</v>
      </c>
      <c r="X173" s="1033">
        <f>W173*I173</f>
        <v>1545.92</v>
      </c>
      <c r="Y173" s="830"/>
      <c r="Z173" s="989" t="s">
        <v>355</v>
      </c>
      <c r="AA173" s="916" t="s">
        <v>53</v>
      </c>
      <c r="AB173" s="916" t="s">
        <v>54</v>
      </c>
      <c r="AC173" s="830"/>
      <c r="AD173" s="1041">
        <v>800</v>
      </c>
      <c r="AE173" s="1041">
        <f t="shared" si="54"/>
        <v>0</v>
      </c>
      <c r="AF173" s="1042"/>
      <c r="AG173" s="830" t="s">
        <v>55</v>
      </c>
      <c r="AH173" s="830"/>
      <c r="AI173" s="830">
        <f t="shared" si="58"/>
        <v>800</v>
      </c>
      <c r="AJ173" s="808"/>
      <c r="AK173" s="808"/>
      <c r="AL173" s="808">
        <f>I173</f>
        <v>800</v>
      </c>
      <c r="AM173" s="808">
        <f>I173</f>
        <v>800</v>
      </c>
      <c r="AS173" s="802">
        <f>L173*2</f>
        <v>32</v>
      </c>
      <c r="BC173" s="998"/>
      <c r="BD173" s="998"/>
      <c r="BE173" s="998"/>
      <c r="BF173" s="998"/>
      <c r="BG173" s="998"/>
      <c r="BL173" s="888"/>
      <c r="BM173" s="888"/>
      <c r="BN173" s="888"/>
      <c r="BO173" s="888"/>
      <c r="BP173" s="888"/>
      <c r="BQ173" s="888"/>
      <c r="BT173" s="802">
        <f t="shared" si="40"/>
        <v>32</v>
      </c>
      <c r="BU173" s="802">
        <f t="shared" si="41"/>
        <v>0</v>
      </c>
      <c r="BV173" s="291">
        <f t="shared" si="42"/>
        <v>844078</v>
      </c>
      <c r="BW173" s="888"/>
      <c r="BX173" s="888"/>
      <c r="BY173" s="888">
        <f>$BX$1+$BY$1-BV173</f>
        <v>15922</v>
      </c>
      <c r="BZ173" s="888">
        <f>$BX$1+$BY$1+$BZ$1-BV173</f>
        <v>455922</v>
      </c>
      <c r="CA173" s="888"/>
      <c r="CF173" s="1056"/>
      <c r="CG173" s="1056"/>
      <c r="CH173" s="1056"/>
      <c r="CI173" s="1056"/>
      <c r="CJ173" s="1056"/>
      <c r="CK173" s="1056"/>
      <c r="CL173" s="1056"/>
      <c r="CM173" s="1056"/>
      <c r="CN173" s="1056"/>
      <c r="CO173" s="1056"/>
      <c r="CP173" s="1056"/>
      <c r="CQ173" s="1056"/>
      <c r="CR173" s="1056"/>
      <c r="CS173" s="1056"/>
      <c r="CT173" s="1056"/>
      <c r="CU173" s="1056"/>
      <c r="CV173" s="1056"/>
      <c r="CW173" s="1056"/>
      <c r="CX173" s="1056"/>
      <c r="CY173" s="1056"/>
      <c r="CZ173" s="1056"/>
      <c r="DA173" s="1056"/>
    </row>
    <row r="174" s="802" customFormat="1" ht="31" hidden="1" customHeight="1" spans="1:105">
      <c r="A174" s="997">
        <v>46026</v>
      </c>
      <c r="B174" s="871"/>
      <c r="C174" s="998"/>
      <c r="D174" s="802" t="s">
        <v>882</v>
      </c>
      <c r="E174" s="830"/>
      <c r="G174" s="989" t="s">
        <v>142</v>
      </c>
      <c r="H174" s="916" t="s">
        <v>440</v>
      </c>
      <c r="I174" s="916">
        <v>34</v>
      </c>
      <c r="J174" s="916">
        <v>0</v>
      </c>
      <c r="K174" s="916">
        <v>24</v>
      </c>
      <c r="L174" s="1011">
        <f t="shared" si="52"/>
        <v>1.41666666666667</v>
      </c>
      <c r="M174" s="843">
        <v>46037</v>
      </c>
      <c r="N174" s="843">
        <v>46034</v>
      </c>
      <c r="O174" s="830"/>
      <c r="P174" s="1013"/>
      <c r="Q174" s="830"/>
      <c r="R174" s="855"/>
      <c r="S174" s="855"/>
      <c r="T174" s="855"/>
      <c r="U174" s="856" t="s">
        <v>883</v>
      </c>
      <c r="V174" s="1012"/>
      <c r="W174" s="1032"/>
      <c r="X174" s="1033"/>
      <c r="Y174" s="830"/>
      <c r="Z174" s="989"/>
      <c r="AA174" s="916"/>
      <c r="AB174" s="916"/>
      <c r="AC174" s="830"/>
      <c r="AD174" s="1041">
        <v>34</v>
      </c>
      <c r="AE174" s="1041">
        <f t="shared" si="54"/>
        <v>0</v>
      </c>
      <c r="AF174" s="1042"/>
      <c r="AG174" s="830"/>
      <c r="AH174" s="830"/>
      <c r="AI174" s="830">
        <f t="shared" si="58"/>
        <v>34</v>
      </c>
      <c r="AJ174" s="808"/>
      <c r="AK174" s="808"/>
      <c r="AL174" s="808"/>
      <c r="AM174" s="808"/>
      <c r="BC174" s="998"/>
      <c r="BD174" s="998"/>
      <c r="BE174" s="998"/>
      <c r="BF174" s="998"/>
      <c r="BG174" s="998"/>
      <c r="BL174" s="888"/>
      <c r="BM174" s="888"/>
      <c r="BN174" s="888"/>
      <c r="BO174" s="888"/>
      <c r="BP174" s="888"/>
      <c r="BQ174" s="888"/>
      <c r="BT174" s="802">
        <f t="shared" si="40"/>
        <v>0</v>
      </c>
      <c r="BU174" s="802">
        <f t="shared" si="41"/>
        <v>0</v>
      </c>
      <c r="BV174" s="291">
        <f t="shared" si="42"/>
        <v>844112</v>
      </c>
      <c r="BW174" s="888"/>
      <c r="BX174" s="888"/>
      <c r="BY174" s="888">
        <f>$BX$1+$BY$1-BV174</f>
        <v>15888</v>
      </c>
      <c r="BZ174" s="888"/>
      <c r="CA174" s="888"/>
      <c r="CF174" s="1056"/>
      <c r="CG174" s="1056"/>
      <c r="CH174" s="1056"/>
      <c r="CI174" s="1056"/>
      <c r="CJ174" s="1056"/>
      <c r="CK174" s="1056"/>
      <c r="CL174" s="1056"/>
      <c r="CM174" s="1056"/>
      <c r="CN174" s="1056"/>
      <c r="CO174" s="1056"/>
      <c r="CP174" s="1056"/>
      <c r="CQ174" s="1056"/>
      <c r="CR174" s="1056"/>
      <c r="CS174" s="1056"/>
      <c r="CT174" s="1056"/>
      <c r="CU174" s="1056"/>
      <c r="CV174" s="1056"/>
      <c r="CW174" s="1056"/>
      <c r="CX174" s="1056"/>
      <c r="CY174" s="1056"/>
      <c r="CZ174" s="1056"/>
      <c r="DA174" s="1056"/>
    </row>
    <row r="175" s="802" customFormat="1" ht="31" hidden="1" customHeight="1" spans="1:105">
      <c r="A175" s="997">
        <v>45979</v>
      </c>
      <c r="B175" s="871" t="s">
        <v>884</v>
      </c>
      <c r="C175" s="998" t="s">
        <v>573</v>
      </c>
      <c r="D175" s="802">
        <v>4500186008</v>
      </c>
      <c r="E175" s="830"/>
      <c r="F175" s="802" t="s">
        <v>885</v>
      </c>
      <c r="G175" s="989" t="s">
        <v>136</v>
      </c>
      <c r="H175" s="916" t="s">
        <v>137</v>
      </c>
      <c r="I175" s="916">
        <v>1200</v>
      </c>
      <c r="J175" s="916">
        <v>0</v>
      </c>
      <c r="K175" s="916">
        <v>50</v>
      </c>
      <c r="L175" s="1011">
        <f t="shared" si="52"/>
        <v>24</v>
      </c>
      <c r="M175" s="843">
        <v>46038</v>
      </c>
      <c r="N175" s="843">
        <v>46034</v>
      </c>
      <c r="O175" s="830"/>
      <c r="P175" s="1013" t="s">
        <v>46</v>
      </c>
      <c r="Q175" s="830"/>
      <c r="R175" s="855">
        <v>45982</v>
      </c>
      <c r="S175" s="855" t="s">
        <v>58</v>
      </c>
      <c r="T175" s="855" t="s">
        <v>886</v>
      </c>
      <c r="U175" s="856" t="s">
        <v>887</v>
      </c>
      <c r="V175" s="1012" t="s">
        <v>888</v>
      </c>
      <c r="W175" s="1032">
        <v>1.9324</v>
      </c>
      <c r="X175" s="1033">
        <f t="shared" ref="X175:X231" si="59">W175*I175</f>
        <v>2318.88</v>
      </c>
      <c r="Y175" s="830"/>
      <c r="Z175" s="989" t="s">
        <v>355</v>
      </c>
      <c r="AA175" s="916" t="s">
        <v>53</v>
      </c>
      <c r="AB175" s="916" t="s">
        <v>54</v>
      </c>
      <c r="AC175" s="830"/>
      <c r="AD175" s="1041">
        <v>1200</v>
      </c>
      <c r="AE175" s="1041">
        <f t="shared" si="54"/>
        <v>0</v>
      </c>
      <c r="AF175" s="1042"/>
      <c r="AG175" s="830" t="s">
        <v>55</v>
      </c>
      <c r="AH175" s="830"/>
      <c r="AI175" s="830">
        <f t="shared" si="58"/>
        <v>1200</v>
      </c>
      <c r="AJ175" s="808"/>
      <c r="AK175" s="808"/>
      <c r="AL175" s="808">
        <f>I175</f>
        <v>1200</v>
      </c>
      <c r="AM175" s="808">
        <f>I175</f>
        <v>1200</v>
      </c>
      <c r="AS175" s="802">
        <f>L175*2</f>
        <v>48</v>
      </c>
      <c r="BC175" s="998"/>
      <c r="BD175" s="998"/>
      <c r="BE175" s="998"/>
      <c r="BF175" s="998"/>
      <c r="BG175" s="998"/>
      <c r="BL175" s="888"/>
      <c r="BM175" s="888"/>
      <c r="BN175" s="888"/>
      <c r="BO175" s="888"/>
      <c r="BP175" s="888"/>
      <c r="BQ175" s="888"/>
      <c r="BT175" s="802">
        <f t="shared" si="40"/>
        <v>48</v>
      </c>
      <c r="BU175" s="802">
        <f t="shared" si="41"/>
        <v>0</v>
      </c>
      <c r="BV175" s="291">
        <f t="shared" si="42"/>
        <v>845312</v>
      </c>
      <c r="BW175" s="888"/>
      <c r="BX175" s="888"/>
      <c r="BY175" s="888">
        <f>$BX$1+$BY$1-BV175</f>
        <v>14688</v>
      </c>
      <c r="BZ175" s="888">
        <f t="shared" ref="BZ175:BZ197" si="60">$BX$1+$BY$1+$BZ$1-BV175</f>
        <v>454688</v>
      </c>
      <c r="CA175" s="888"/>
      <c r="CF175" s="1056"/>
      <c r="CG175" s="1056"/>
      <c r="CH175" s="1056"/>
      <c r="CI175" s="1056"/>
      <c r="CJ175" s="1056"/>
      <c r="CK175" s="1056"/>
      <c r="CL175" s="1056"/>
      <c r="CM175" s="1056"/>
      <c r="CN175" s="1056"/>
      <c r="CO175" s="1056"/>
      <c r="CP175" s="1056"/>
      <c r="CQ175" s="1056"/>
      <c r="CR175" s="1056"/>
      <c r="CS175" s="1056"/>
      <c r="CT175" s="1056"/>
      <c r="CU175" s="1056"/>
      <c r="CV175" s="1056"/>
      <c r="CW175" s="1056"/>
      <c r="CX175" s="1056"/>
      <c r="CY175" s="1056"/>
      <c r="CZ175" s="1056"/>
      <c r="DA175" s="1056"/>
    </row>
    <row r="176" s="802" customFormat="1" ht="31" hidden="1" customHeight="1" spans="1:105">
      <c r="A176" s="997">
        <v>45989</v>
      </c>
      <c r="B176" s="871" t="s">
        <v>715</v>
      </c>
      <c r="C176" s="998" t="s">
        <v>716</v>
      </c>
      <c r="D176" s="802">
        <v>4500187446</v>
      </c>
      <c r="E176" s="830" t="s">
        <v>889</v>
      </c>
      <c r="F176" s="802" t="s">
        <v>890</v>
      </c>
      <c r="G176" s="989" t="s">
        <v>375</v>
      </c>
      <c r="H176" s="1106" t="s">
        <v>376</v>
      </c>
      <c r="I176" s="916">
        <v>12</v>
      </c>
      <c r="J176" s="916">
        <v>0</v>
      </c>
      <c r="K176" s="916">
        <v>12</v>
      </c>
      <c r="L176" s="1011">
        <f t="shared" si="52"/>
        <v>1</v>
      </c>
      <c r="M176" s="843">
        <v>46038</v>
      </c>
      <c r="N176" s="843">
        <v>46034</v>
      </c>
      <c r="O176" s="830"/>
      <c r="P176" s="1013" t="s">
        <v>46</v>
      </c>
      <c r="Q176" s="830"/>
      <c r="R176" s="855">
        <v>45989</v>
      </c>
      <c r="S176" s="855" t="s">
        <v>48</v>
      </c>
      <c r="T176" s="855" t="s">
        <v>891</v>
      </c>
      <c r="U176" s="856" t="s">
        <v>855</v>
      </c>
      <c r="V176" s="1012" t="s">
        <v>721</v>
      </c>
      <c r="W176" s="1032">
        <v>2.8135</v>
      </c>
      <c r="X176" s="1033">
        <f t="shared" si="59"/>
        <v>33.762</v>
      </c>
      <c r="Y176" s="830"/>
      <c r="Z176" s="989" t="s">
        <v>375</v>
      </c>
      <c r="AA176" s="916" t="s">
        <v>53</v>
      </c>
      <c r="AB176" s="916" t="s">
        <v>54</v>
      </c>
      <c r="AC176" s="830"/>
      <c r="AD176" s="1041">
        <v>12</v>
      </c>
      <c r="AE176" s="1041">
        <f t="shared" si="54"/>
        <v>0</v>
      </c>
      <c r="AF176" s="1042"/>
      <c r="AG176" s="830"/>
      <c r="AH176" s="830"/>
      <c r="AI176" s="830">
        <f>I176*2</f>
        <v>24</v>
      </c>
      <c r="AJ176" s="808"/>
      <c r="AK176" s="808">
        <f>I176*2</f>
        <v>24</v>
      </c>
      <c r="AL176" s="808"/>
      <c r="AM176" s="808">
        <f>I176*2</f>
        <v>24</v>
      </c>
      <c r="BC176" s="998"/>
      <c r="BD176" s="998"/>
      <c r="BE176" s="998"/>
      <c r="BF176" s="998"/>
      <c r="BG176" s="998"/>
      <c r="BH176" s="802">
        <f>I176</f>
        <v>12</v>
      </c>
      <c r="BI176" s="802">
        <f>I176</f>
        <v>12</v>
      </c>
      <c r="BJ176" s="802">
        <f>I176</f>
        <v>12</v>
      </c>
      <c r="BL176" s="888"/>
      <c r="BM176" s="888"/>
      <c r="BN176" s="888"/>
      <c r="BO176" s="888"/>
      <c r="BP176" s="888"/>
      <c r="BQ176" s="888"/>
      <c r="BT176" s="802">
        <f t="shared" si="40"/>
        <v>0</v>
      </c>
      <c r="BU176" s="802">
        <f t="shared" si="41"/>
        <v>0</v>
      </c>
      <c r="BV176" s="291">
        <f t="shared" si="42"/>
        <v>845336</v>
      </c>
      <c r="BW176" s="888"/>
      <c r="BX176" s="888"/>
      <c r="BY176" s="888">
        <f>$BX$1+$BY$1-BV176</f>
        <v>14664</v>
      </c>
      <c r="BZ176" s="888">
        <f t="shared" si="60"/>
        <v>454664</v>
      </c>
      <c r="CA176" s="888"/>
      <c r="CF176" s="1056"/>
      <c r="CG176" s="1056"/>
      <c r="CH176" s="1056"/>
      <c r="CI176" s="1056"/>
      <c r="CJ176" s="1056"/>
      <c r="CK176" s="1056"/>
      <c r="CL176" s="1056"/>
      <c r="CM176" s="1056"/>
      <c r="CN176" s="1056"/>
      <c r="CO176" s="1056"/>
      <c r="CP176" s="1056"/>
      <c r="CQ176" s="1056"/>
      <c r="CR176" s="1056"/>
      <c r="CS176" s="1056"/>
      <c r="CT176" s="1056"/>
      <c r="CU176" s="1056"/>
      <c r="CV176" s="1056"/>
      <c r="CW176" s="1056"/>
      <c r="CX176" s="1056"/>
      <c r="CY176" s="1056"/>
      <c r="CZ176" s="1056"/>
      <c r="DA176" s="1056"/>
    </row>
    <row r="177" s="802" customFormat="1" ht="31" hidden="1" customHeight="1" spans="1:105">
      <c r="A177" s="997">
        <v>45996</v>
      </c>
      <c r="B177" s="871" t="s">
        <v>884</v>
      </c>
      <c r="C177" s="998" t="s">
        <v>573</v>
      </c>
      <c r="D177" s="802">
        <v>4500188181</v>
      </c>
      <c r="E177" s="830"/>
      <c r="F177" s="802" t="s">
        <v>892</v>
      </c>
      <c r="G177" s="989" t="s">
        <v>136</v>
      </c>
      <c r="H177" s="916" t="s">
        <v>137</v>
      </c>
      <c r="I177" s="916">
        <v>1200</v>
      </c>
      <c r="J177" s="916">
        <v>0</v>
      </c>
      <c r="K177" s="916">
        <v>50</v>
      </c>
      <c r="L177" s="1011">
        <f t="shared" si="52"/>
        <v>24</v>
      </c>
      <c r="M177" s="843">
        <v>46039</v>
      </c>
      <c r="N177" s="843">
        <v>46030</v>
      </c>
      <c r="O177" s="830"/>
      <c r="P177" s="1013" t="s">
        <v>46</v>
      </c>
      <c r="Q177" s="830"/>
      <c r="R177" s="855">
        <v>45996</v>
      </c>
      <c r="S177" s="855" t="s">
        <v>58</v>
      </c>
      <c r="T177" s="855" t="s">
        <v>893</v>
      </c>
      <c r="U177" s="856" t="s">
        <v>894</v>
      </c>
      <c r="V177" s="1012" t="s">
        <v>895</v>
      </c>
      <c r="W177" s="1032">
        <v>1.9324</v>
      </c>
      <c r="X177" s="1033">
        <f t="shared" si="59"/>
        <v>2318.88</v>
      </c>
      <c r="Y177" s="830"/>
      <c r="Z177" s="989" t="s">
        <v>355</v>
      </c>
      <c r="AA177" s="916" t="s">
        <v>53</v>
      </c>
      <c r="AB177" s="916" t="s">
        <v>54</v>
      </c>
      <c r="AC177" s="830"/>
      <c r="AD177" s="1041">
        <v>1200</v>
      </c>
      <c r="AE177" s="1041">
        <f t="shared" si="54"/>
        <v>0</v>
      </c>
      <c r="AF177" s="1042"/>
      <c r="AG177" s="830" t="s">
        <v>55</v>
      </c>
      <c r="AH177" s="830"/>
      <c r="AI177" s="830">
        <f t="shared" ref="AI177:AI197" si="61">I177</f>
        <v>1200</v>
      </c>
      <c r="AJ177" s="808"/>
      <c r="AK177" s="808"/>
      <c r="AL177" s="808">
        <f>I177</f>
        <v>1200</v>
      </c>
      <c r="AM177" s="808">
        <f t="shared" ref="AM177:AM197" si="62">I177</f>
        <v>1200</v>
      </c>
      <c r="AS177" s="802">
        <f>L177*2</f>
        <v>48</v>
      </c>
      <c r="BC177" s="998"/>
      <c r="BD177" s="998"/>
      <c r="BE177" s="998"/>
      <c r="BF177" s="998"/>
      <c r="BG177" s="998"/>
      <c r="BL177" s="888"/>
      <c r="BM177" s="888"/>
      <c r="BN177" s="888"/>
      <c r="BO177" s="888"/>
      <c r="BP177" s="888"/>
      <c r="BQ177" s="888"/>
      <c r="BT177" s="802">
        <f t="shared" si="40"/>
        <v>48</v>
      </c>
      <c r="BU177" s="802">
        <f t="shared" si="41"/>
        <v>0</v>
      </c>
      <c r="BV177" s="291">
        <f t="shared" si="42"/>
        <v>846536</v>
      </c>
      <c r="BW177" s="888"/>
      <c r="BX177" s="888"/>
      <c r="BY177" s="888">
        <f>$BX$1+$BY$1-BV177</f>
        <v>13464</v>
      </c>
      <c r="BZ177" s="888">
        <f t="shared" si="60"/>
        <v>453464</v>
      </c>
      <c r="CA177" s="888"/>
      <c r="CF177" s="1056"/>
      <c r="CG177" s="1056"/>
      <c r="CH177" s="1056"/>
      <c r="CI177" s="1056"/>
      <c r="CJ177" s="1056"/>
      <c r="CK177" s="1056"/>
      <c r="CL177" s="1056"/>
      <c r="CM177" s="1056"/>
      <c r="CN177" s="1056"/>
      <c r="CO177" s="1056"/>
      <c r="CP177" s="1056"/>
      <c r="CQ177" s="1056"/>
      <c r="CR177" s="1056"/>
      <c r="CS177" s="1056"/>
      <c r="CT177" s="1056"/>
      <c r="CU177" s="1056"/>
      <c r="CV177" s="1056"/>
      <c r="CW177" s="1056"/>
      <c r="CX177" s="1056"/>
      <c r="CY177" s="1056"/>
      <c r="CZ177" s="1056"/>
      <c r="DA177" s="1056"/>
    </row>
    <row r="178" s="802" customFormat="1" ht="31" hidden="1" customHeight="1" spans="1:105">
      <c r="A178" s="997">
        <v>45986</v>
      </c>
      <c r="B178" s="871" t="s">
        <v>199</v>
      </c>
      <c r="C178" s="998" t="s">
        <v>84</v>
      </c>
      <c r="D178" s="802">
        <v>4500186882</v>
      </c>
      <c r="E178" s="830">
        <v>7137242748</v>
      </c>
      <c r="F178" s="802" t="s">
        <v>896</v>
      </c>
      <c r="G178" s="989" t="s">
        <v>823</v>
      </c>
      <c r="H178" s="916" t="s">
        <v>824</v>
      </c>
      <c r="I178" s="916">
        <v>6930</v>
      </c>
      <c r="J178" s="916">
        <v>0</v>
      </c>
      <c r="K178" s="916">
        <v>30</v>
      </c>
      <c r="L178" s="1011">
        <f t="shared" si="52"/>
        <v>231</v>
      </c>
      <c r="M178" s="843">
        <v>46041</v>
      </c>
      <c r="N178" s="843">
        <v>46037</v>
      </c>
      <c r="O178" s="830" t="s">
        <v>862</v>
      </c>
      <c r="P178" s="1013" t="s">
        <v>46</v>
      </c>
      <c r="Q178" s="830"/>
      <c r="R178" s="855">
        <v>45988</v>
      </c>
      <c r="S178" s="855" t="s">
        <v>58</v>
      </c>
      <c r="T178" s="855" t="s">
        <v>836</v>
      </c>
      <c r="U178" s="856" t="s">
        <v>826</v>
      </c>
      <c r="V178" s="1012" t="s">
        <v>207</v>
      </c>
      <c r="W178" s="1032">
        <v>37.3398</v>
      </c>
      <c r="X178" s="1033">
        <f t="shared" si="59"/>
        <v>258764.814</v>
      </c>
      <c r="Y178" s="830"/>
      <c r="Z178" s="989" t="s">
        <v>827</v>
      </c>
      <c r="AA178" s="916" t="s">
        <v>53</v>
      </c>
      <c r="AB178" s="916" t="s">
        <v>54</v>
      </c>
      <c r="AC178" s="830"/>
      <c r="AD178" s="1041">
        <v>6930</v>
      </c>
      <c r="AE178" s="1041">
        <f t="shared" si="54"/>
        <v>0</v>
      </c>
      <c r="AF178" s="1042"/>
      <c r="AG178" s="830" t="s">
        <v>55</v>
      </c>
      <c r="AH178" s="830"/>
      <c r="AI178" s="830">
        <f t="shared" si="61"/>
        <v>6930</v>
      </c>
      <c r="AJ178" s="808">
        <f>I178</f>
        <v>6930</v>
      </c>
      <c r="AK178" s="808"/>
      <c r="AL178" s="808"/>
      <c r="AM178" s="808">
        <f t="shared" si="62"/>
        <v>6930</v>
      </c>
      <c r="BC178" s="998"/>
      <c r="BD178" s="998"/>
      <c r="BE178" s="998"/>
      <c r="BF178" s="998">
        <f>L178</f>
        <v>231</v>
      </c>
      <c r="BG178" s="998"/>
      <c r="BL178" s="888"/>
      <c r="BM178" s="888"/>
      <c r="BN178" s="888"/>
      <c r="BO178" s="888"/>
      <c r="BP178" s="888"/>
      <c r="BQ178" s="888"/>
      <c r="BT178" s="802">
        <f t="shared" si="40"/>
        <v>0</v>
      </c>
      <c r="BU178" s="802">
        <f t="shared" si="41"/>
        <v>0</v>
      </c>
      <c r="BV178" s="291">
        <f t="shared" si="42"/>
        <v>853466</v>
      </c>
      <c r="BW178" s="888"/>
      <c r="BX178" s="888"/>
      <c r="BY178" s="888">
        <f>$BX$1+$BY$1-BV178</f>
        <v>6534</v>
      </c>
      <c r="BZ178" s="888">
        <f t="shared" si="60"/>
        <v>446534</v>
      </c>
      <c r="CA178" s="888"/>
      <c r="CF178" s="1056"/>
      <c r="CG178" s="1056"/>
      <c r="CH178" s="1056"/>
      <c r="CI178" s="1056"/>
      <c r="CJ178" s="1056"/>
      <c r="CK178" s="1056"/>
      <c r="CL178" s="1056"/>
      <c r="CM178" s="1056"/>
      <c r="CN178" s="1056"/>
      <c r="CO178" s="1056"/>
      <c r="CP178" s="1056"/>
      <c r="CQ178" s="1056"/>
      <c r="CR178" s="1056"/>
      <c r="CS178" s="1056"/>
      <c r="CT178" s="1056"/>
      <c r="CU178" s="1056"/>
      <c r="CV178" s="1056"/>
      <c r="CW178" s="1056"/>
      <c r="CX178" s="1056"/>
      <c r="CY178" s="1056"/>
      <c r="CZ178" s="1056"/>
      <c r="DA178" s="1056"/>
    </row>
    <row r="179" s="802" customFormat="1" ht="31" hidden="1" customHeight="1" spans="1:105">
      <c r="A179" s="997">
        <v>45988</v>
      </c>
      <c r="B179" s="871" t="s">
        <v>199</v>
      </c>
      <c r="C179" s="998" t="s">
        <v>84</v>
      </c>
      <c r="D179" s="802">
        <v>4500187240</v>
      </c>
      <c r="E179" s="1297" t="s">
        <v>897</v>
      </c>
      <c r="F179" s="802" t="s">
        <v>898</v>
      </c>
      <c r="G179" s="989" t="s">
        <v>202</v>
      </c>
      <c r="H179" s="916" t="s">
        <v>203</v>
      </c>
      <c r="I179" s="916">
        <v>960</v>
      </c>
      <c r="J179" s="916">
        <v>0</v>
      </c>
      <c r="K179" s="916">
        <v>16</v>
      </c>
      <c r="L179" s="1011">
        <f t="shared" si="52"/>
        <v>60</v>
      </c>
      <c r="M179" s="843">
        <v>46041</v>
      </c>
      <c r="N179" s="843">
        <v>46037</v>
      </c>
      <c r="O179" s="830" t="s">
        <v>899</v>
      </c>
      <c r="P179" s="1013" t="s">
        <v>46</v>
      </c>
      <c r="Q179" s="830"/>
      <c r="R179" s="855" t="s">
        <v>251</v>
      </c>
      <c r="S179" s="855" t="s">
        <v>58</v>
      </c>
      <c r="T179" s="855" t="s">
        <v>420</v>
      </c>
      <c r="U179" s="856" t="s">
        <v>252</v>
      </c>
      <c r="V179" s="1012" t="s">
        <v>207</v>
      </c>
      <c r="W179" s="1032">
        <v>1.2079</v>
      </c>
      <c r="X179" s="1033">
        <f t="shared" si="59"/>
        <v>1159.584</v>
      </c>
      <c r="Y179" s="830"/>
      <c r="Z179" s="989" t="s">
        <v>202</v>
      </c>
      <c r="AA179" s="916" t="s">
        <v>53</v>
      </c>
      <c r="AB179" s="916" t="s">
        <v>54</v>
      </c>
      <c r="AC179" s="830"/>
      <c r="AD179" s="1041">
        <v>960</v>
      </c>
      <c r="AE179" s="1041">
        <f t="shared" si="54"/>
        <v>0</v>
      </c>
      <c r="AF179" s="1042"/>
      <c r="AG179" s="830" t="s">
        <v>55</v>
      </c>
      <c r="AH179" s="830"/>
      <c r="AI179" s="830">
        <f t="shared" si="61"/>
        <v>960</v>
      </c>
      <c r="AJ179" s="808">
        <f>I179</f>
        <v>960</v>
      </c>
      <c r="AK179" s="808"/>
      <c r="AL179" s="808"/>
      <c r="AM179" s="808">
        <f t="shared" si="62"/>
        <v>960</v>
      </c>
      <c r="AW179" s="802">
        <f>I179/16</f>
        <v>60</v>
      </c>
      <c r="BC179" s="998"/>
      <c r="BD179" s="998"/>
      <c r="BE179" s="998"/>
      <c r="BF179" s="998"/>
      <c r="BG179" s="998"/>
      <c r="BL179" s="888"/>
      <c r="BM179" s="888"/>
      <c r="BN179" s="888"/>
      <c r="BO179" s="888"/>
      <c r="BP179" s="888"/>
      <c r="BQ179" s="888"/>
      <c r="BT179" s="802">
        <f t="shared" si="40"/>
        <v>60</v>
      </c>
      <c r="BU179" s="802">
        <f t="shared" si="41"/>
        <v>0</v>
      </c>
      <c r="BV179" s="291">
        <f t="shared" si="42"/>
        <v>854426</v>
      </c>
      <c r="BW179" s="888"/>
      <c r="BX179" s="888"/>
      <c r="BY179" s="888">
        <f>$BX$1+$BY$1-BV179</f>
        <v>5574</v>
      </c>
      <c r="BZ179" s="888">
        <f t="shared" si="60"/>
        <v>445574</v>
      </c>
      <c r="CA179" s="888"/>
      <c r="CF179" s="1056"/>
      <c r="CG179" s="1056"/>
      <c r="CH179" s="1056"/>
      <c r="CI179" s="1056"/>
      <c r="CJ179" s="1056"/>
      <c r="CK179" s="1056"/>
      <c r="CL179" s="1056"/>
      <c r="CM179" s="1056"/>
      <c r="CN179" s="1056"/>
      <c r="CO179" s="1056"/>
      <c r="CP179" s="1056"/>
      <c r="CQ179" s="1056"/>
      <c r="CR179" s="1056"/>
      <c r="CS179" s="1056"/>
      <c r="CT179" s="1056"/>
      <c r="CU179" s="1056"/>
      <c r="CV179" s="1056"/>
      <c r="CW179" s="1056"/>
      <c r="CX179" s="1056"/>
      <c r="CY179" s="1056"/>
      <c r="CZ179" s="1056"/>
      <c r="DA179" s="1056"/>
    </row>
    <row r="180" s="802" customFormat="1" ht="31" hidden="1" customHeight="1" spans="1:105">
      <c r="A180" s="997">
        <v>45996</v>
      </c>
      <c r="B180" s="871" t="s">
        <v>900</v>
      </c>
      <c r="C180" s="998" t="s">
        <v>41</v>
      </c>
      <c r="D180" s="802">
        <v>4500188145</v>
      </c>
      <c r="E180" s="830">
        <v>5120008</v>
      </c>
      <c r="F180" s="802" t="s">
        <v>901</v>
      </c>
      <c r="G180" s="989" t="s">
        <v>136</v>
      </c>
      <c r="H180" s="916" t="s">
        <v>137</v>
      </c>
      <c r="I180" s="916">
        <v>1500</v>
      </c>
      <c r="J180" s="916">
        <v>0</v>
      </c>
      <c r="K180" s="916">
        <v>50</v>
      </c>
      <c r="L180" s="1011">
        <f t="shared" si="52"/>
        <v>30</v>
      </c>
      <c r="M180" s="843">
        <v>46043</v>
      </c>
      <c r="N180" s="843">
        <v>46039</v>
      </c>
      <c r="O180" s="830"/>
      <c r="P180" s="1013" t="s">
        <v>46</v>
      </c>
      <c r="Q180" s="830"/>
      <c r="R180" s="855">
        <v>46016</v>
      </c>
      <c r="S180" s="855" t="s">
        <v>58</v>
      </c>
      <c r="T180" s="855" t="s">
        <v>749</v>
      </c>
      <c r="U180" s="856" t="s">
        <v>902</v>
      </c>
      <c r="V180" s="1012" t="s">
        <v>79</v>
      </c>
      <c r="W180" s="1032">
        <v>1.9154</v>
      </c>
      <c r="X180" s="1033">
        <f t="shared" si="59"/>
        <v>2873.1</v>
      </c>
      <c r="Y180" s="830"/>
      <c r="Z180" s="989" t="s">
        <v>355</v>
      </c>
      <c r="AA180" s="916" t="s">
        <v>53</v>
      </c>
      <c r="AB180" s="916" t="s">
        <v>54</v>
      </c>
      <c r="AC180" s="830"/>
      <c r="AD180" s="1041">
        <v>1500</v>
      </c>
      <c r="AE180" s="1041">
        <f t="shared" si="54"/>
        <v>0</v>
      </c>
      <c r="AF180" s="1042"/>
      <c r="AG180" s="830" t="s">
        <v>55</v>
      </c>
      <c r="AH180" s="830"/>
      <c r="AI180" s="830">
        <f t="shared" si="61"/>
        <v>1500</v>
      </c>
      <c r="AJ180" s="808"/>
      <c r="AK180" s="808"/>
      <c r="AL180" s="808">
        <f>I180</f>
        <v>1500</v>
      </c>
      <c r="AM180" s="808">
        <f t="shared" si="62"/>
        <v>1500</v>
      </c>
      <c r="AS180" s="802">
        <f>L180*2</f>
        <v>60</v>
      </c>
      <c r="BC180" s="998"/>
      <c r="BD180" s="998"/>
      <c r="BE180" s="998"/>
      <c r="BF180" s="998"/>
      <c r="BG180" s="998"/>
      <c r="BL180" s="888"/>
      <c r="BM180" s="888"/>
      <c r="BN180" s="888"/>
      <c r="BO180" s="888"/>
      <c r="BP180" s="888"/>
      <c r="BQ180" s="888"/>
      <c r="BT180" s="802">
        <f t="shared" si="40"/>
        <v>60</v>
      </c>
      <c r="BU180" s="802">
        <f t="shared" si="41"/>
        <v>0</v>
      </c>
      <c r="BV180" s="291">
        <f t="shared" si="42"/>
        <v>855926</v>
      </c>
      <c r="BW180" s="888"/>
      <c r="BX180" s="888"/>
      <c r="BY180" s="888">
        <f>$BX$1+$BY$1-BV180</f>
        <v>4074</v>
      </c>
      <c r="BZ180" s="888">
        <f t="shared" si="60"/>
        <v>444074</v>
      </c>
      <c r="CA180" s="888"/>
      <c r="CF180" s="1056"/>
      <c r="CG180" s="1056"/>
      <c r="CH180" s="1056"/>
      <c r="CI180" s="1056"/>
      <c r="CJ180" s="1056"/>
      <c r="CK180" s="1056"/>
      <c r="CL180" s="1056"/>
      <c r="CM180" s="1056"/>
      <c r="CN180" s="1056"/>
      <c r="CO180" s="1056"/>
      <c r="CP180" s="1056"/>
      <c r="CQ180" s="1056"/>
      <c r="CR180" s="1056"/>
      <c r="CS180" s="1056"/>
      <c r="CT180" s="1056"/>
      <c r="CU180" s="1056"/>
      <c r="CV180" s="1056"/>
      <c r="CW180" s="1056"/>
      <c r="CX180" s="1056"/>
      <c r="CY180" s="1056"/>
      <c r="CZ180" s="1056"/>
      <c r="DA180" s="1056"/>
    </row>
    <row r="181" s="802" customFormat="1" ht="31" hidden="1" customHeight="1" spans="1:105">
      <c r="A181" s="997">
        <v>45986</v>
      </c>
      <c r="B181" s="871" t="s">
        <v>199</v>
      </c>
      <c r="C181" s="998" t="s">
        <v>84</v>
      </c>
      <c r="D181" s="802">
        <v>4500186883</v>
      </c>
      <c r="E181" s="830">
        <v>7137242753</v>
      </c>
      <c r="F181" s="802" t="s">
        <v>903</v>
      </c>
      <c r="G181" s="989" t="s">
        <v>823</v>
      </c>
      <c r="H181" s="916" t="s">
        <v>824</v>
      </c>
      <c r="I181" s="916">
        <v>2730</v>
      </c>
      <c r="J181" s="916">
        <v>0</v>
      </c>
      <c r="K181" s="916">
        <v>30</v>
      </c>
      <c r="L181" s="1011">
        <f t="shared" si="52"/>
        <v>91</v>
      </c>
      <c r="M181" s="843">
        <v>46044</v>
      </c>
      <c r="N181" s="843">
        <v>46041</v>
      </c>
      <c r="O181" s="830" t="s">
        <v>899</v>
      </c>
      <c r="P181" s="1013" t="s">
        <v>46</v>
      </c>
      <c r="Q181" s="830"/>
      <c r="R181" s="855">
        <v>45988</v>
      </c>
      <c r="S181" s="855" t="s">
        <v>58</v>
      </c>
      <c r="T181" s="855" t="s">
        <v>836</v>
      </c>
      <c r="U181" s="856" t="s">
        <v>826</v>
      </c>
      <c r="V181" s="1012" t="s">
        <v>207</v>
      </c>
      <c r="W181" s="1032">
        <v>37.3398</v>
      </c>
      <c r="X181" s="1033">
        <f t="shared" si="59"/>
        <v>101937.654</v>
      </c>
      <c r="Y181" s="830"/>
      <c r="Z181" s="989" t="s">
        <v>827</v>
      </c>
      <c r="AA181" s="916" t="s">
        <v>53</v>
      </c>
      <c r="AB181" s="916" t="s">
        <v>54</v>
      </c>
      <c r="AC181" s="830"/>
      <c r="AD181" s="1041">
        <v>2730</v>
      </c>
      <c r="AE181" s="1041">
        <f t="shared" si="54"/>
        <v>0</v>
      </c>
      <c r="AF181" s="1042"/>
      <c r="AG181" s="830" t="s">
        <v>55</v>
      </c>
      <c r="AH181" s="830"/>
      <c r="AI181" s="830">
        <f t="shared" si="61"/>
        <v>2730</v>
      </c>
      <c r="AJ181" s="808">
        <f>I181</f>
        <v>2730</v>
      </c>
      <c r="AK181" s="808"/>
      <c r="AL181" s="808"/>
      <c r="AM181" s="808">
        <f t="shared" si="62"/>
        <v>2730</v>
      </c>
      <c r="BC181" s="998"/>
      <c r="BD181" s="998"/>
      <c r="BE181" s="998"/>
      <c r="BF181" s="998">
        <f>L181</f>
        <v>91</v>
      </c>
      <c r="BG181" s="998"/>
      <c r="BL181" s="888"/>
      <c r="BM181" s="888"/>
      <c r="BN181" s="888"/>
      <c r="BO181" s="888"/>
      <c r="BP181" s="888"/>
      <c r="BQ181" s="888"/>
      <c r="BT181" s="802">
        <f t="shared" si="40"/>
        <v>0</v>
      </c>
      <c r="BU181" s="802">
        <f t="shared" si="41"/>
        <v>0</v>
      </c>
      <c r="BV181" s="291">
        <f t="shared" si="42"/>
        <v>858656</v>
      </c>
      <c r="BW181" s="888"/>
      <c r="BX181" s="888"/>
      <c r="BY181" s="888">
        <f>$BX$1+$BY$1-BV181</f>
        <v>1344</v>
      </c>
      <c r="BZ181" s="888">
        <f t="shared" si="60"/>
        <v>441344</v>
      </c>
      <c r="CA181" s="888"/>
      <c r="CF181" s="1056"/>
      <c r="CG181" s="1056"/>
      <c r="CH181" s="1056"/>
      <c r="CI181" s="1056"/>
      <c r="CJ181" s="1056"/>
      <c r="CK181" s="1056"/>
      <c r="CL181" s="1056"/>
      <c r="CM181" s="1056"/>
      <c r="CN181" s="1056"/>
      <c r="CO181" s="1056"/>
      <c r="CP181" s="1056"/>
      <c r="CQ181" s="1056"/>
      <c r="CR181" s="1056"/>
      <c r="CS181" s="1056"/>
      <c r="CT181" s="1056"/>
      <c r="CU181" s="1056"/>
      <c r="CV181" s="1056"/>
      <c r="CW181" s="1056"/>
      <c r="CX181" s="1056"/>
      <c r="CY181" s="1056"/>
      <c r="CZ181" s="1056"/>
      <c r="DA181" s="1056"/>
    </row>
    <row r="182" s="802" customFormat="1" ht="31" hidden="1" customHeight="1" spans="1:105">
      <c r="A182" s="997">
        <v>46006</v>
      </c>
      <c r="B182" s="871" t="s">
        <v>904</v>
      </c>
      <c r="C182" s="998" t="s">
        <v>573</v>
      </c>
      <c r="D182" s="802">
        <v>4500189088</v>
      </c>
      <c r="E182" s="830"/>
      <c r="F182" s="802" t="s">
        <v>905</v>
      </c>
      <c r="G182" s="989" t="s">
        <v>136</v>
      </c>
      <c r="H182" s="916" t="s">
        <v>137</v>
      </c>
      <c r="I182" s="916">
        <v>300</v>
      </c>
      <c r="J182" s="916">
        <v>0</v>
      </c>
      <c r="K182" s="916">
        <v>50</v>
      </c>
      <c r="L182" s="1011">
        <f t="shared" si="52"/>
        <v>6</v>
      </c>
      <c r="M182" s="843">
        <v>46044</v>
      </c>
      <c r="N182" s="843">
        <v>46041</v>
      </c>
      <c r="O182" s="830"/>
      <c r="P182" s="1013" t="s">
        <v>46</v>
      </c>
      <c r="Q182" s="830"/>
      <c r="R182" s="855">
        <v>46009</v>
      </c>
      <c r="S182" s="855" t="s">
        <v>58</v>
      </c>
      <c r="T182" s="855" t="s">
        <v>906</v>
      </c>
      <c r="U182" s="856" t="s">
        <v>907</v>
      </c>
      <c r="V182" s="1012" t="s">
        <v>888</v>
      </c>
      <c r="W182" s="1032">
        <v>1.9324</v>
      </c>
      <c r="X182" s="1033">
        <f t="shared" si="59"/>
        <v>579.72</v>
      </c>
      <c r="Y182" s="830"/>
      <c r="Z182" s="989" t="s">
        <v>355</v>
      </c>
      <c r="AA182" s="916" t="s">
        <v>53</v>
      </c>
      <c r="AB182" s="916" t="s">
        <v>54</v>
      </c>
      <c r="AC182" s="830"/>
      <c r="AD182" s="1041">
        <v>300</v>
      </c>
      <c r="AE182" s="1041">
        <f t="shared" si="54"/>
        <v>0</v>
      </c>
      <c r="AF182" s="1042"/>
      <c r="AG182" s="830" t="s">
        <v>55</v>
      </c>
      <c r="AH182" s="830"/>
      <c r="AI182" s="830">
        <f t="shared" si="61"/>
        <v>300</v>
      </c>
      <c r="AJ182" s="808"/>
      <c r="AK182" s="808"/>
      <c r="AL182" s="808">
        <f>I182</f>
        <v>300</v>
      </c>
      <c r="AM182" s="808">
        <f t="shared" si="62"/>
        <v>300</v>
      </c>
      <c r="AS182" s="802">
        <f>L182*2</f>
        <v>12</v>
      </c>
      <c r="BC182" s="998"/>
      <c r="BD182" s="998"/>
      <c r="BE182" s="998"/>
      <c r="BF182" s="998"/>
      <c r="BG182" s="998"/>
      <c r="BL182" s="888"/>
      <c r="BM182" s="888"/>
      <c r="BN182" s="888"/>
      <c r="BO182" s="888"/>
      <c r="BP182" s="888"/>
      <c r="BQ182" s="888"/>
      <c r="BT182" s="802">
        <f t="shared" si="40"/>
        <v>12</v>
      </c>
      <c r="BU182" s="802">
        <f t="shared" si="41"/>
        <v>0</v>
      </c>
      <c r="BV182" s="291">
        <f t="shared" si="42"/>
        <v>858956</v>
      </c>
      <c r="BW182" s="888"/>
      <c r="BX182" s="888"/>
      <c r="BY182" s="888">
        <f>$BX$1+$BY$1-BV182</f>
        <v>1044</v>
      </c>
      <c r="BZ182" s="888">
        <f t="shared" si="60"/>
        <v>441044</v>
      </c>
      <c r="CA182" s="888"/>
      <c r="CF182" s="1056"/>
      <c r="CG182" s="1056"/>
      <c r="CH182" s="1056"/>
      <c r="CI182" s="1056"/>
      <c r="CJ182" s="1056"/>
      <c r="CK182" s="1056"/>
      <c r="CL182" s="1056"/>
      <c r="CM182" s="1056"/>
      <c r="CN182" s="1056"/>
      <c r="CO182" s="1056"/>
      <c r="CP182" s="1056"/>
      <c r="CQ182" s="1056"/>
      <c r="CR182" s="1056"/>
      <c r="CS182" s="1056"/>
      <c r="CT182" s="1056"/>
      <c r="CU182" s="1056"/>
      <c r="CV182" s="1056"/>
      <c r="CW182" s="1056"/>
      <c r="CX182" s="1056"/>
      <c r="CY182" s="1056"/>
      <c r="CZ182" s="1056"/>
      <c r="DA182" s="1056"/>
    </row>
    <row r="183" s="802" customFormat="1" ht="31" hidden="1" customHeight="1" spans="1:105">
      <c r="A183" s="997">
        <v>45988</v>
      </c>
      <c r="B183" s="871" t="s">
        <v>199</v>
      </c>
      <c r="C183" s="998" t="s">
        <v>84</v>
      </c>
      <c r="D183" s="802">
        <v>4500187241</v>
      </c>
      <c r="E183" s="1297" t="s">
        <v>908</v>
      </c>
      <c r="F183" s="802" t="s">
        <v>909</v>
      </c>
      <c r="G183" s="989" t="s">
        <v>202</v>
      </c>
      <c r="H183" s="916" t="s">
        <v>203</v>
      </c>
      <c r="I183" s="916">
        <v>960</v>
      </c>
      <c r="J183" s="916">
        <v>0</v>
      </c>
      <c r="K183" s="916">
        <v>16</v>
      </c>
      <c r="L183" s="1011">
        <f t="shared" si="52"/>
        <v>60</v>
      </c>
      <c r="M183" s="843">
        <v>46048</v>
      </c>
      <c r="N183" s="843">
        <v>46046</v>
      </c>
      <c r="O183" s="830" t="s">
        <v>910</v>
      </c>
      <c r="P183" s="1013" t="s">
        <v>46</v>
      </c>
      <c r="Q183" s="830"/>
      <c r="R183" s="855" t="s">
        <v>251</v>
      </c>
      <c r="S183" s="855" t="s">
        <v>58</v>
      </c>
      <c r="T183" s="855" t="s">
        <v>420</v>
      </c>
      <c r="U183" s="856" t="s">
        <v>252</v>
      </c>
      <c r="V183" s="1012" t="s">
        <v>207</v>
      </c>
      <c r="W183" s="1032">
        <v>1.2079</v>
      </c>
      <c r="X183" s="1033">
        <f t="shared" si="59"/>
        <v>1159.584</v>
      </c>
      <c r="Y183" s="830"/>
      <c r="Z183" s="989" t="s">
        <v>202</v>
      </c>
      <c r="AA183" s="916" t="s">
        <v>53</v>
      </c>
      <c r="AB183" s="916" t="s">
        <v>54</v>
      </c>
      <c r="AC183" s="830"/>
      <c r="AD183" s="1041">
        <v>960</v>
      </c>
      <c r="AE183" s="1041">
        <f t="shared" si="54"/>
        <v>0</v>
      </c>
      <c r="AF183" s="1042"/>
      <c r="AG183" s="830" t="s">
        <v>55</v>
      </c>
      <c r="AH183" s="830"/>
      <c r="AI183" s="830">
        <f t="shared" si="61"/>
        <v>960</v>
      </c>
      <c r="AJ183" s="808">
        <f>I183</f>
        <v>960</v>
      </c>
      <c r="AK183" s="808"/>
      <c r="AL183" s="808"/>
      <c r="AM183" s="808">
        <f t="shared" si="62"/>
        <v>960</v>
      </c>
      <c r="AW183" s="802">
        <f>I183/16</f>
        <v>60</v>
      </c>
      <c r="BC183" s="998"/>
      <c r="BD183" s="998"/>
      <c r="BE183" s="998"/>
      <c r="BF183" s="998"/>
      <c r="BG183" s="998"/>
      <c r="BL183" s="888"/>
      <c r="BM183" s="888"/>
      <c r="BN183" s="888"/>
      <c r="BO183" s="888"/>
      <c r="BP183" s="888"/>
      <c r="BQ183" s="888"/>
      <c r="BT183" s="802">
        <f t="shared" si="40"/>
        <v>60</v>
      </c>
      <c r="BU183" s="802">
        <f t="shared" si="41"/>
        <v>0</v>
      </c>
      <c r="BV183" s="291">
        <f t="shared" si="42"/>
        <v>859916</v>
      </c>
      <c r="BW183" s="888"/>
      <c r="BX183" s="888"/>
      <c r="BY183" s="888">
        <f>$BX$1+$BY$1-BV183</f>
        <v>84</v>
      </c>
      <c r="BZ183" s="888">
        <f t="shared" si="60"/>
        <v>440084</v>
      </c>
      <c r="CA183" s="888"/>
      <c r="CF183" s="1056"/>
      <c r="CG183" s="1056"/>
      <c r="CH183" s="1056"/>
      <c r="CI183" s="1056"/>
      <c r="CJ183" s="1056"/>
      <c r="CK183" s="1056"/>
      <c r="CL183" s="1056"/>
      <c r="CM183" s="1056"/>
      <c r="CN183" s="1056"/>
      <c r="CO183" s="1056"/>
      <c r="CP183" s="1056"/>
      <c r="CQ183" s="1056"/>
      <c r="CR183" s="1056"/>
      <c r="CS183" s="1056"/>
      <c r="CT183" s="1056"/>
      <c r="CU183" s="1056"/>
      <c r="CV183" s="1056"/>
      <c r="CW183" s="1056"/>
      <c r="CX183" s="1056"/>
      <c r="CY183" s="1056"/>
      <c r="CZ183" s="1056"/>
      <c r="DA183" s="1056"/>
    </row>
    <row r="184" s="802" customFormat="1" ht="31" hidden="1" customHeight="1" spans="1:105">
      <c r="A184" s="997">
        <v>45988</v>
      </c>
      <c r="B184" s="871" t="s">
        <v>199</v>
      </c>
      <c r="C184" s="998" t="s">
        <v>84</v>
      </c>
      <c r="D184" s="802">
        <v>4500187243</v>
      </c>
      <c r="E184" s="1297" t="s">
        <v>911</v>
      </c>
      <c r="F184" s="802" t="s">
        <v>912</v>
      </c>
      <c r="G184" s="989" t="s">
        <v>202</v>
      </c>
      <c r="H184" s="916" t="s">
        <v>203</v>
      </c>
      <c r="I184" s="916">
        <v>960</v>
      </c>
      <c r="J184" s="916">
        <v>0</v>
      </c>
      <c r="K184" s="916">
        <v>16</v>
      </c>
      <c r="L184" s="1011">
        <f t="shared" si="52"/>
        <v>60</v>
      </c>
      <c r="M184" s="843">
        <v>46051</v>
      </c>
      <c r="N184" s="843">
        <v>46048</v>
      </c>
      <c r="O184" s="830" t="s">
        <v>910</v>
      </c>
      <c r="P184" s="1013" t="s">
        <v>46</v>
      </c>
      <c r="Q184" s="830"/>
      <c r="R184" s="855" t="s">
        <v>251</v>
      </c>
      <c r="S184" s="855" t="s">
        <v>58</v>
      </c>
      <c r="T184" s="855" t="s">
        <v>420</v>
      </c>
      <c r="U184" s="856" t="s">
        <v>252</v>
      </c>
      <c r="V184" s="1012" t="s">
        <v>207</v>
      </c>
      <c r="W184" s="1032">
        <v>1.2079</v>
      </c>
      <c r="X184" s="1033">
        <f t="shared" si="59"/>
        <v>1159.584</v>
      </c>
      <c r="Y184" s="830"/>
      <c r="Z184" s="989" t="s">
        <v>202</v>
      </c>
      <c r="AA184" s="916" t="s">
        <v>53</v>
      </c>
      <c r="AB184" s="916" t="s">
        <v>54</v>
      </c>
      <c r="AC184" s="830"/>
      <c r="AD184" s="1041">
        <v>960</v>
      </c>
      <c r="AE184" s="1041">
        <f t="shared" si="54"/>
        <v>0</v>
      </c>
      <c r="AF184" s="1042"/>
      <c r="AG184" s="830" t="s">
        <v>55</v>
      </c>
      <c r="AH184" s="830"/>
      <c r="AI184" s="830">
        <f t="shared" si="61"/>
        <v>960</v>
      </c>
      <c r="AJ184" s="808">
        <f>I184</f>
        <v>960</v>
      </c>
      <c r="AK184" s="808"/>
      <c r="AL184" s="808"/>
      <c r="AM184" s="808">
        <f t="shared" si="62"/>
        <v>960</v>
      </c>
      <c r="AW184" s="802">
        <f>I184/16</f>
        <v>60</v>
      </c>
      <c r="BC184" s="998"/>
      <c r="BD184" s="998"/>
      <c r="BE184" s="998"/>
      <c r="BF184" s="998"/>
      <c r="BG184" s="998"/>
      <c r="BL184" s="888"/>
      <c r="BM184" s="888"/>
      <c r="BN184" s="888"/>
      <c r="BO184" s="888"/>
      <c r="BP184" s="888"/>
      <c r="BQ184" s="888"/>
      <c r="BT184" s="802">
        <f t="shared" si="40"/>
        <v>60</v>
      </c>
      <c r="BU184" s="802">
        <f t="shared" si="41"/>
        <v>0</v>
      </c>
      <c r="BV184" s="291">
        <f t="shared" si="42"/>
        <v>860876</v>
      </c>
      <c r="BW184" s="888"/>
      <c r="BX184" s="888"/>
      <c r="BY184" s="888"/>
      <c r="BZ184" s="888">
        <f t="shared" si="60"/>
        <v>439124</v>
      </c>
      <c r="CA184" s="888"/>
      <c r="CF184" s="1056"/>
      <c r="CG184" s="1056"/>
      <c r="CH184" s="1056"/>
      <c r="CI184" s="1056"/>
      <c r="CJ184" s="1056"/>
      <c r="CK184" s="1056"/>
      <c r="CL184" s="1056"/>
      <c r="CM184" s="1056"/>
      <c r="CN184" s="1056"/>
      <c r="CO184" s="1056"/>
      <c r="CP184" s="1056"/>
      <c r="CQ184" s="1056"/>
      <c r="CR184" s="1056"/>
      <c r="CS184" s="1056"/>
      <c r="CT184" s="1056"/>
      <c r="CU184" s="1056"/>
      <c r="CV184" s="1056"/>
      <c r="CW184" s="1056"/>
      <c r="CX184" s="1056"/>
      <c r="CY184" s="1056"/>
      <c r="CZ184" s="1056"/>
      <c r="DA184" s="1056"/>
    </row>
    <row r="185" s="802" customFormat="1" ht="31" hidden="1" customHeight="1" spans="1:105">
      <c r="A185" s="997">
        <v>45988</v>
      </c>
      <c r="B185" s="871" t="s">
        <v>199</v>
      </c>
      <c r="C185" s="998" t="s">
        <v>84</v>
      </c>
      <c r="D185" s="802">
        <v>4500187243</v>
      </c>
      <c r="E185" s="1297" t="s">
        <v>913</v>
      </c>
      <c r="F185" s="802" t="s">
        <v>914</v>
      </c>
      <c r="G185" s="989" t="s">
        <v>202</v>
      </c>
      <c r="H185" s="916" t="s">
        <v>203</v>
      </c>
      <c r="I185" s="916">
        <v>960</v>
      </c>
      <c r="J185" s="916">
        <v>0</v>
      </c>
      <c r="K185" s="916">
        <v>16</v>
      </c>
      <c r="L185" s="1011">
        <f t="shared" si="52"/>
        <v>60</v>
      </c>
      <c r="M185" s="843">
        <v>46051</v>
      </c>
      <c r="N185" s="843">
        <v>46048</v>
      </c>
      <c r="O185" s="830" t="s">
        <v>910</v>
      </c>
      <c r="P185" s="1013" t="s">
        <v>46</v>
      </c>
      <c r="Q185" s="830"/>
      <c r="R185" s="855" t="s">
        <v>251</v>
      </c>
      <c r="S185" s="855" t="s">
        <v>58</v>
      </c>
      <c r="T185" s="855" t="s">
        <v>420</v>
      </c>
      <c r="U185" s="856" t="s">
        <v>252</v>
      </c>
      <c r="V185" s="1012" t="s">
        <v>207</v>
      </c>
      <c r="W185" s="1032">
        <v>1.2079</v>
      </c>
      <c r="X185" s="1033">
        <f t="shared" si="59"/>
        <v>1159.584</v>
      </c>
      <c r="Y185" s="830"/>
      <c r="Z185" s="989" t="s">
        <v>202</v>
      </c>
      <c r="AA185" s="916" t="s">
        <v>53</v>
      </c>
      <c r="AB185" s="916" t="s">
        <v>54</v>
      </c>
      <c r="AC185" s="830"/>
      <c r="AD185" s="1041">
        <v>960</v>
      </c>
      <c r="AE185" s="1041">
        <f t="shared" si="54"/>
        <v>0</v>
      </c>
      <c r="AF185" s="1042"/>
      <c r="AG185" s="830" t="s">
        <v>55</v>
      </c>
      <c r="AH185" s="830"/>
      <c r="AI185" s="830">
        <f t="shared" si="61"/>
        <v>960</v>
      </c>
      <c r="AJ185" s="808">
        <f>I185</f>
        <v>960</v>
      </c>
      <c r="AK185" s="808"/>
      <c r="AL185" s="808"/>
      <c r="AM185" s="808">
        <f t="shared" si="62"/>
        <v>960</v>
      </c>
      <c r="AW185" s="802">
        <f>I185/16</f>
        <v>60</v>
      </c>
      <c r="BC185" s="998"/>
      <c r="BD185" s="998"/>
      <c r="BE185" s="998"/>
      <c r="BF185" s="998"/>
      <c r="BG185" s="998"/>
      <c r="BL185" s="888"/>
      <c r="BM185" s="888"/>
      <c r="BN185" s="888"/>
      <c r="BO185" s="888"/>
      <c r="BP185" s="888"/>
      <c r="BQ185" s="888"/>
      <c r="BT185" s="802">
        <f t="shared" si="40"/>
        <v>60</v>
      </c>
      <c r="BU185" s="802">
        <f t="shared" si="41"/>
        <v>0</v>
      </c>
      <c r="BV185" s="291">
        <f t="shared" si="42"/>
        <v>861836</v>
      </c>
      <c r="BW185" s="888"/>
      <c r="BX185" s="888"/>
      <c r="BY185" s="888"/>
      <c r="BZ185" s="888">
        <f t="shared" si="60"/>
        <v>438164</v>
      </c>
      <c r="CA185" s="888"/>
      <c r="CF185" s="1056"/>
      <c r="CG185" s="1056"/>
      <c r="CH185" s="1056"/>
      <c r="CI185" s="1056"/>
      <c r="CJ185" s="1056"/>
      <c r="CK185" s="1056"/>
      <c r="CL185" s="1056"/>
      <c r="CM185" s="1056"/>
      <c r="CN185" s="1056"/>
      <c r="CO185" s="1056"/>
      <c r="CP185" s="1056"/>
      <c r="CQ185" s="1056"/>
      <c r="CR185" s="1056"/>
      <c r="CS185" s="1056"/>
      <c r="CT185" s="1056"/>
      <c r="CU185" s="1056"/>
      <c r="CV185" s="1056"/>
      <c r="CW185" s="1056"/>
      <c r="CX185" s="1056"/>
      <c r="CY185" s="1056"/>
      <c r="CZ185" s="1056"/>
      <c r="DA185" s="1056"/>
    </row>
    <row r="186" s="805" customFormat="1" ht="31" hidden="1" customHeight="1" spans="1:105">
      <c r="A186" s="1100">
        <v>45993</v>
      </c>
      <c r="B186" s="895" t="s">
        <v>915</v>
      </c>
      <c r="C186" s="1101" t="s">
        <v>916</v>
      </c>
      <c r="D186" s="805">
        <v>4500187640</v>
      </c>
      <c r="E186" s="285" t="s">
        <v>917</v>
      </c>
      <c r="F186" s="805" t="s">
        <v>918</v>
      </c>
      <c r="G186" s="1102" t="s">
        <v>136</v>
      </c>
      <c r="H186" s="911" t="s">
        <v>137</v>
      </c>
      <c r="I186" s="911">
        <v>2500</v>
      </c>
      <c r="J186" s="911">
        <v>0</v>
      </c>
      <c r="K186" s="911">
        <v>50</v>
      </c>
      <c r="L186" s="1112">
        <f t="shared" si="52"/>
        <v>50</v>
      </c>
      <c r="M186" s="932">
        <v>46042</v>
      </c>
      <c r="N186" s="932">
        <v>46038</v>
      </c>
      <c r="O186" s="285"/>
      <c r="P186" s="1113"/>
      <c r="Q186" s="285"/>
      <c r="R186" s="1119">
        <v>45999</v>
      </c>
      <c r="S186" s="945" t="s">
        <v>58</v>
      </c>
      <c r="T186" s="1119" t="s">
        <v>651</v>
      </c>
      <c r="U186" s="946" t="s">
        <v>919</v>
      </c>
      <c r="V186" s="1120" t="s">
        <v>653</v>
      </c>
      <c r="W186" s="1121">
        <v>1.9324</v>
      </c>
      <c r="X186" s="1122">
        <f t="shared" si="59"/>
        <v>4831</v>
      </c>
      <c r="Y186" s="285"/>
      <c r="Z186" s="1102" t="s">
        <v>355</v>
      </c>
      <c r="AA186" s="911" t="s">
        <v>53</v>
      </c>
      <c r="AB186" s="911" t="s">
        <v>54</v>
      </c>
      <c r="AC186" s="285"/>
      <c r="AD186" s="1130">
        <v>2500</v>
      </c>
      <c r="AE186" s="1130">
        <f t="shared" si="54"/>
        <v>0</v>
      </c>
      <c r="AF186" s="1131"/>
      <c r="AG186" s="285" t="s">
        <v>55</v>
      </c>
      <c r="AH186" s="285"/>
      <c r="AI186" s="285">
        <f t="shared" si="61"/>
        <v>2500</v>
      </c>
      <c r="AJ186" s="968"/>
      <c r="AK186" s="968"/>
      <c r="AL186" s="968">
        <f>I186</f>
        <v>2500</v>
      </c>
      <c r="AM186" s="968">
        <f t="shared" si="62"/>
        <v>2500</v>
      </c>
      <c r="AS186" s="805">
        <f>L186*2</f>
        <v>100</v>
      </c>
      <c r="BC186" s="1101"/>
      <c r="BD186" s="1101"/>
      <c r="BE186" s="1101"/>
      <c r="BF186" s="1101"/>
      <c r="BG186" s="1101"/>
      <c r="BL186" s="291"/>
      <c r="BM186" s="291"/>
      <c r="BN186" s="291"/>
      <c r="BO186" s="291"/>
      <c r="BP186" s="291"/>
      <c r="BQ186" s="291"/>
      <c r="BT186" s="805">
        <f t="shared" si="40"/>
        <v>100</v>
      </c>
      <c r="BU186" s="805">
        <f t="shared" si="41"/>
        <v>0</v>
      </c>
      <c r="BV186" s="291">
        <f t="shared" si="42"/>
        <v>864336</v>
      </c>
      <c r="BW186" s="291"/>
      <c r="BX186" s="291"/>
      <c r="BY186" s="975"/>
      <c r="BZ186" s="291">
        <f t="shared" si="60"/>
        <v>435664</v>
      </c>
      <c r="CA186" s="291"/>
      <c r="CF186" s="1142"/>
      <c r="CG186" s="1142"/>
      <c r="CH186" s="1142"/>
      <c r="CI186" s="1142"/>
      <c r="CJ186" s="1142"/>
      <c r="CK186" s="1142"/>
      <c r="CL186" s="1142"/>
      <c r="CM186" s="1142"/>
      <c r="CN186" s="1142"/>
      <c r="CO186" s="1142"/>
      <c r="CP186" s="1142"/>
      <c r="CQ186" s="1142"/>
      <c r="CR186" s="1142"/>
      <c r="CS186" s="1142"/>
      <c r="CT186" s="1142"/>
      <c r="CU186" s="1142"/>
      <c r="CV186" s="1142"/>
      <c r="CW186" s="1142"/>
      <c r="CX186" s="1142"/>
      <c r="CY186" s="1142"/>
      <c r="CZ186" s="1142"/>
      <c r="DA186" s="1142"/>
    </row>
    <row r="187" s="805" customFormat="1" ht="31" hidden="1" customHeight="1" spans="1:105">
      <c r="A187" s="1100">
        <v>46007</v>
      </c>
      <c r="B187" s="895" t="s">
        <v>543</v>
      </c>
      <c r="C187" s="1171" t="s">
        <v>84</v>
      </c>
      <c r="D187" s="895">
        <v>4500189179</v>
      </c>
      <c r="E187" s="1298" t="s">
        <v>920</v>
      </c>
      <c r="F187" s="895" t="s">
        <v>921</v>
      </c>
      <c r="G187" s="1102" t="s">
        <v>151</v>
      </c>
      <c r="H187" s="911" t="s">
        <v>152</v>
      </c>
      <c r="I187" s="911">
        <v>1859</v>
      </c>
      <c r="J187" s="911">
        <v>0</v>
      </c>
      <c r="K187" s="911">
        <v>13</v>
      </c>
      <c r="L187" s="1112">
        <f t="shared" si="52"/>
        <v>143</v>
      </c>
      <c r="M187" s="932">
        <v>46048</v>
      </c>
      <c r="N187" s="932">
        <v>46044</v>
      </c>
      <c r="O187" s="285"/>
      <c r="P187" s="1113"/>
      <c r="Q187" s="285"/>
      <c r="R187" s="1119">
        <v>46007</v>
      </c>
      <c r="S187" s="1119" t="s">
        <v>58</v>
      </c>
      <c r="T187" s="1119" t="s">
        <v>58</v>
      </c>
      <c r="U187" s="946" t="s">
        <v>922</v>
      </c>
      <c r="V187" s="1120" t="s">
        <v>395</v>
      </c>
      <c r="W187" s="1121">
        <v>1.1025</v>
      </c>
      <c r="X187" s="1122">
        <f t="shared" si="59"/>
        <v>2049.5475</v>
      </c>
      <c r="Y187" s="285"/>
      <c r="Z187" s="1102" t="s">
        <v>151</v>
      </c>
      <c r="AA187" s="911" t="s">
        <v>53</v>
      </c>
      <c r="AB187" s="911" t="s">
        <v>54</v>
      </c>
      <c r="AC187" s="285"/>
      <c r="AD187" s="1130">
        <v>1859</v>
      </c>
      <c r="AE187" s="1130">
        <f t="shared" si="54"/>
        <v>0</v>
      </c>
      <c r="AF187" s="1131"/>
      <c r="AG187" s="285" t="s">
        <v>58</v>
      </c>
      <c r="AH187" s="285"/>
      <c r="AI187" s="285">
        <f t="shared" si="61"/>
        <v>1859</v>
      </c>
      <c r="AJ187" s="968">
        <f>I187</f>
        <v>1859</v>
      </c>
      <c r="AL187" s="968"/>
      <c r="AM187" s="805">
        <f t="shared" si="62"/>
        <v>1859</v>
      </c>
      <c r="AP187" s="803">
        <f>I187/13</f>
        <v>143</v>
      </c>
      <c r="BC187" s="1101"/>
      <c r="BD187" s="1101"/>
      <c r="BE187" s="1101"/>
      <c r="BF187" s="1101"/>
      <c r="BG187" s="1101"/>
      <c r="BL187" s="291"/>
      <c r="BM187" s="291"/>
      <c r="BN187" s="291"/>
      <c r="BO187" s="291"/>
      <c r="BP187" s="291"/>
      <c r="BQ187" s="291"/>
      <c r="BT187" s="805">
        <f t="shared" si="40"/>
        <v>0</v>
      </c>
      <c r="BU187" s="805">
        <f t="shared" si="41"/>
        <v>0</v>
      </c>
      <c r="BV187" s="291">
        <f t="shared" si="42"/>
        <v>866195</v>
      </c>
      <c r="BW187" s="291"/>
      <c r="BX187" s="291"/>
      <c r="BY187" s="291"/>
      <c r="BZ187" s="291">
        <f t="shared" ref="BZ187:BZ218" si="63">$BX$1+$BY$1+$BZ$1-BV187</f>
        <v>433805</v>
      </c>
      <c r="CA187" s="291"/>
      <c r="CF187" s="1142"/>
      <c r="CG187" s="1142"/>
      <c r="CH187" s="1142"/>
      <c r="CI187" s="1142"/>
      <c r="CJ187" s="1142"/>
      <c r="CK187" s="1142"/>
      <c r="CL187" s="1142"/>
      <c r="CM187" s="1142"/>
      <c r="CN187" s="1142"/>
      <c r="CO187" s="1142"/>
      <c r="CP187" s="1142"/>
      <c r="CQ187" s="1142"/>
      <c r="CR187" s="1142"/>
      <c r="CS187" s="1142"/>
      <c r="CT187" s="1142"/>
      <c r="CU187" s="1142"/>
      <c r="CV187" s="1142"/>
      <c r="CW187" s="1142"/>
      <c r="CX187" s="1142"/>
      <c r="CY187" s="1142"/>
      <c r="CZ187" s="1142"/>
      <c r="DA187" s="1142"/>
    </row>
    <row r="188" s="805" customFormat="1" ht="31" hidden="1" customHeight="1" spans="1:105">
      <c r="A188" s="1172">
        <v>46008</v>
      </c>
      <c r="B188" s="1173" t="s">
        <v>923</v>
      </c>
      <c r="C188" s="1174" t="s">
        <v>70</v>
      </c>
      <c r="D188" s="1175">
        <v>4500189254</v>
      </c>
      <c r="E188" s="1173" t="s">
        <v>924</v>
      </c>
      <c r="F188" s="1175" t="s">
        <v>925</v>
      </c>
      <c r="G188" s="1102" t="s">
        <v>145</v>
      </c>
      <c r="H188" s="911" t="s">
        <v>137</v>
      </c>
      <c r="I188" s="911">
        <v>2080</v>
      </c>
      <c r="J188" s="911">
        <v>0</v>
      </c>
      <c r="K188" s="911">
        <v>52</v>
      </c>
      <c r="L188" s="1112">
        <f t="shared" si="52"/>
        <v>40</v>
      </c>
      <c r="M188" s="932">
        <v>46048</v>
      </c>
      <c r="N188" s="932">
        <v>46044</v>
      </c>
      <c r="O188" s="285"/>
      <c r="P188" s="1113"/>
      <c r="Q188" s="285"/>
      <c r="R188" s="1119">
        <v>46016</v>
      </c>
      <c r="S188" s="1119" t="s">
        <v>58</v>
      </c>
      <c r="T188" s="1119" t="s">
        <v>926</v>
      </c>
      <c r="U188" s="1178" t="s">
        <v>927</v>
      </c>
      <c r="V188" s="1120" t="s">
        <v>487</v>
      </c>
      <c r="W188" s="1121">
        <v>1.839</v>
      </c>
      <c r="X188" s="1122">
        <f t="shared" si="59"/>
        <v>3825.12</v>
      </c>
      <c r="Y188" s="285"/>
      <c r="Z188" s="1102" t="s">
        <v>833</v>
      </c>
      <c r="AA188" s="911" t="s">
        <v>53</v>
      </c>
      <c r="AB188" s="911" t="s">
        <v>54</v>
      </c>
      <c r="AC188" s="285"/>
      <c r="AD188" s="1130">
        <v>2080</v>
      </c>
      <c r="AE188" s="1130">
        <f t="shared" si="54"/>
        <v>0</v>
      </c>
      <c r="AF188" s="1131"/>
      <c r="AG188" s="285" t="s">
        <v>55</v>
      </c>
      <c r="AH188" s="285"/>
      <c r="AI188" s="285">
        <f t="shared" si="61"/>
        <v>2080</v>
      </c>
      <c r="AJ188" s="968"/>
      <c r="AL188" s="968">
        <f>I188</f>
        <v>2080</v>
      </c>
      <c r="AM188" s="805">
        <f t="shared" si="62"/>
        <v>2080</v>
      </c>
      <c r="AQ188" s="805">
        <f>I188/13</f>
        <v>160</v>
      </c>
      <c r="BC188" s="1101"/>
      <c r="BD188" s="1101"/>
      <c r="BE188" s="1101"/>
      <c r="BF188" s="1101"/>
      <c r="BG188" s="1101"/>
      <c r="BL188" s="291"/>
      <c r="BM188" s="291"/>
      <c r="BN188" s="291"/>
      <c r="BO188" s="291"/>
      <c r="BP188" s="291"/>
      <c r="BQ188" s="291"/>
      <c r="BT188" s="805">
        <f t="shared" si="40"/>
        <v>0</v>
      </c>
      <c r="BU188" s="805">
        <f t="shared" si="41"/>
        <v>0</v>
      </c>
      <c r="BV188" s="291">
        <f t="shared" si="42"/>
        <v>868275</v>
      </c>
      <c r="BW188" s="291"/>
      <c r="BX188" s="291"/>
      <c r="BY188" s="975"/>
      <c r="BZ188" s="291">
        <f t="shared" si="63"/>
        <v>431725</v>
      </c>
      <c r="CA188" s="291"/>
      <c r="CF188" s="1142"/>
      <c r="CG188" s="1142"/>
      <c r="CH188" s="1142"/>
      <c r="CI188" s="1142"/>
      <c r="CJ188" s="1142"/>
      <c r="CK188" s="1142"/>
      <c r="CL188" s="1142"/>
      <c r="CM188" s="1142"/>
      <c r="CN188" s="1142"/>
      <c r="CO188" s="1142"/>
      <c r="CP188" s="1142"/>
      <c r="CQ188" s="1142"/>
      <c r="CR188" s="1142"/>
      <c r="CS188" s="1142"/>
      <c r="CT188" s="1142"/>
      <c r="CU188" s="1142"/>
      <c r="CV188" s="1142"/>
      <c r="CW188" s="1142"/>
      <c r="CX188" s="1142"/>
      <c r="CY188" s="1142"/>
      <c r="CZ188" s="1142"/>
      <c r="DA188" s="1142"/>
    </row>
    <row r="189" s="805" customFormat="1" ht="31" hidden="1" customHeight="1" spans="1:105">
      <c r="A189" s="1172">
        <v>46003</v>
      </c>
      <c r="B189" s="1173" t="s">
        <v>928</v>
      </c>
      <c r="C189" s="1174" t="s">
        <v>929</v>
      </c>
      <c r="D189" s="1175">
        <v>4500188881</v>
      </c>
      <c r="E189" s="1173"/>
      <c r="F189" s="1175" t="s">
        <v>930</v>
      </c>
      <c r="G189" s="1102" t="s">
        <v>145</v>
      </c>
      <c r="H189" s="911" t="s">
        <v>137</v>
      </c>
      <c r="I189" s="911">
        <v>312</v>
      </c>
      <c r="J189" s="911">
        <v>0</v>
      </c>
      <c r="K189" s="911">
        <v>52</v>
      </c>
      <c r="L189" s="1112">
        <f t="shared" si="52"/>
        <v>6</v>
      </c>
      <c r="M189" s="932">
        <v>46051</v>
      </c>
      <c r="N189" s="932">
        <v>46048</v>
      </c>
      <c r="O189" s="285"/>
      <c r="P189" s="1113"/>
      <c r="Q189" s="285"/>
      <c r="R189" s="1119">
        <v>46387</v>
      </c>
      <c r="S189" s="1119" t="s">
        <v>58</v>
      </c>
      <c r="T189" s="1119" t="s">
        <v>931</v>
      </c>
      <c r="U189" s="946" t="s">
        <v>932</v>
      </c>
      <c r="V189" s="1120" t="s">
        <v>653</v>
      </c>
      <c r="W189" s="1121">
        <v>1.839</v>
      </c>
      <c r="X189" s="1122">
        <f t="shared" si="59"/>
        <v>573.768</v>
      </c>
      <c r="Y189" s="285"/>
      <c r="Z189" s="1102" t="s">
        <v>833</v>
      </c>
      <c r="AA189" s="911" t="s">
        <v>53</v>
      </c>
      <c r="AB189" s="911" t="s">
        <v>54</v>
      </c>
      <c r="AC189" s="285"/>
      <c r="AD189" s="1130">
        <v>312</v>
      </c>
      <c r="AE189" s="1130">
        <f t="shared" si="54"/>
        <v>0</v>
      </c>
      <c r="AF189" s="1131"/>
      <c r="AG189" s="285" t="s">
        <v>55</v>
      </c>
      <c r="AH189" s="285"/>
      <c r="AI189" s="285">
        <f t="shared" si="61"/>
        <v>312</v>
      </c>
      <c r="AJ189" s="968"/>
      <c r="AL189" s="968">
        <f t="shared" ref="AL189:AL194" si="64">I189</f>
        <v>312</v>
      </c>
      <c r="AM189" s="805">
        <f t="shared" si="62"/>
        <v>312</v>
      </c>
      <c r="AQ189" s="805">
        <f>I189/13</f>
        <v>24</v>
      </c>
      <c r="BC189" s="1101"/>
      <c r="BD189" s="1101"/>
      <c r="BE189" s="1101"/>
      <c r="BF189" s="1101"/>
      <c r="BG189" s="1101"/>
      <c r="BL189" s="291"/>
      <c r="BM189" s="291"/>
      <c r="BN189" s="291"/>
      <c r="BO189" s="291"/>
      <c r="BP189" s="291"/>
      <c r="BQ189" s="291"/>
      <c r="BT189" s="805">
        <f t="shared" ref="BT187:BT197" si="65">AR189+AS189+AW189</f>
        <v>0</v>
      </c>
      <c r="BU189" s="805">
        <f t="shared" ref="BU187:BU197" si="66">BD189+BE189+BG189</f>
        <v>0</v>
      </c>
      <c r="BV189" s="291">
        <f t="shared" si="42"/>
        <v>868587</v>
      </c>
      <c r="BW189" s="291"/>
      <c r="BX189" s="291"/>
      <c r="BY189" s="975"/>
      <c r="BZ189" s="291">
        <f t="shared" si="63"/>
        <v>431413</v>
      </c>
      <c r="CA189" s="291"/>
      <c r="CF189" s="1142"/>
      <c r="CG189" s="1142"/>
      <c r="CH189" s="1142"/>
      <c r="CI189" s="1142"/>
      <c r="CJ189" s="1142"/>
      <c r="CK189" s="1142"/>
      <c r="CL189" s="1142"/>
      <c r="CM189" s="1142"/>
      <c r="CN189" s="1142"/>
      <c r="CO189" s="1142"/>
      <c r="CP189" s="1142"/>
      <c r="CQ189" s="1142"/>
      <c r="CR189" s="1142"/>
      <c r="CS189" s="1142"/>
      <c r="CT189" s="1142"/>
      <c r="CU189" s="1142"/>
      <c r="CV189" s="1142"/>
      <c r="CW189" s="1142"/>
      <c r="CX189" s="1142"/>
      <c r="CY189" s="1142"/>
      <c r="CZ189" s="1142"/>
      <c r="DA189" s="1142"/>
    </row>
    <row r="190" s="805" customFormat="1" ht="31" hidden="1" customHeight="1" spans="1:105">
      <c r="A190" s="1172">
        <v>46021</v>
      </c>
      <c r="B190" s="1173" t="s">
        <v>933</v>
      </c>
      <c r="C190" s="1174" t="s">
        <v>934</v>
      </c>
      <c r="D190" s="1175">
        <v>4500190234</v>
      </c>
      <c r="E190" s="1173"/>
      <c r="F190" s="1175" t="s">
        <v>935</v>
      </c>
      <c r="G190" s="1102" t="s">
        <v>136</v>
      </c>
      <c r="H190" s="911" t="s">
        <v>137</v>
      </c>
      <c r="I190" s="911">
        <v>750</v>
      </c>
      <c r="J190" s="911">
        <v>0</v>
      </c>
      <c r="K190" s="911">
        <v>50</v>
      </c>
      <c r="L190" s="1112">
        <f t="shared" si="52"/>
        <v>15</v>
      </c>
      <c r="M190" s="932">
        <v>46052</v>
      </c>
      <c r="N190" s="932">
        <v>46048</v>
      </c>
      <c r="O190" s="285"/>
      <c r="P190" s="1113"/>
      <c r="Q190" s="285"/>
      <c r="R190" s="1119">
        <v>46021</v>
      </c>
      <c r="S190" s="945" t="s">
        <v>58</v>
      </c>
      <c r="T190" s="1119" t="s">
        <v>936</v>
      </c>
      <c r="U190" s="946" t="s">
        <v>937</v>
      </c>
      <c r="V190" s="1120" t="s">
        <v>938</v>
      </c>
      <c r="W190" s="1121">
        <v>1.9154</v>
      </c>
      <c r="X190" s="1122">
        <f t="shared" si="59"/>
        <v>1436.55</v>
      </c>
      <c r="Y190" s="285"/>
      <c r="Z190" s="1102" t="s">
        <v>355</v>
      </c>
      <c r="AA190" s="911" t="s">
        <v>53</v>
      </c>
      <c r="AB190" s="911" t="s">
        <v>54</v>
      </c>
      <c r="AC190" s="285"/>
      <c r="AD190" s="1130">
        <v>750</v>
      </c>
      <c r="AE190" s="1130">
        <f t="shared" si="54"/>
        <v>0</v>
      </c>
      <c r="AF190" s="1131"/>
      <c r="AG190" s="285" t="s">
        <v>55</v>
      </c>
      <c r="AH190" s="285"/>
      <c r="AI190" s="285">
        <f t="shared" si="61"/>
        <v>750</v>
      </c>
      <c r="AJ190" s="968"/>
      <c r="AL190" s="968">
        <f t="shared" si="64"/>
        <v>750</v>
      </c>
      <c r="AM190" s="1180">
        <f t="shared" si="62"/>
        <v>750</v>
      </c>
      <c r="AS190" s="805">
        <f>L190*2</f>
        <v>30</v>
      </c>
      <c r="BC190" s="1101"/>
      <c r="BD190" s="1101"/>
      <c r="BE190" s="1101"/>
      <c r="BF190" s="1101"/>
      <c r="BG190" s="1101"/>
      <c r="BL190" s="291"/>
      <c r="BM190" s="291"/>
      <c r="BN190" s="291"/>
      <c r="BO190" s="291"/>
      <c r="BP190" s="291"/>
      <c r="BQ190" s="291"/>
      <c r="BT190" s="805">
        <f t="shared" si="65"/>
        <v>30</v>
      </c>
      <c r="BU190" s="805">
        <f t="shared" si="66"/>
        <v>0</v>
      </c>
      <c r="BV190" s="291">
        <f t="shared" si="42"/>
        <v>869337</v>
      </c>
      <c r="BW190" s="291"/>
      <c r="BX190" s="291"/>
      <c r="BY190" s="975"/>
      <c r="BZ190" s="291">
        <f t="shared" si="63"/>
        <v>430663</v>
      </c>
      <c r="CA190" s="291"/>
      <c r="CF190" s="1142"/>
      <c r="CG190" s="1142"/>
      <c r="CH190" s="1142"/>
      <c r="CI190" s="1142"/>
      <c r="CJ190" s="1142"/>
      <c r="CK190" s="1142"/>
      <c r="CL190" s="1142"/>
      <c r="CM190" s="1142"/>
      <c r="CN190" s="1142"/>
      <c r="CO190" s="1142"/>
      <c r="CP190" s="1142"/>
      <c r="CQ190" s="1142"/>
      <c r="CR190" s="1142"/>
      <c r="CS190" s="1142"/>
      <c r="CT190" s="1142"/>
      <c r="CU190" s="1142"/>
      <c r="CV190" s="1142"/>
      <c r="CW190" s="1142"/>
      <c r="CX190" s="1142"/>
      <c r="CY190" s="1142"/>
      <c r="CZ190" s="1142"/>
      <c r="DA190" s="1142"/>
    </row>
    <row r="191" s="805" customFormat="1" ht="31" hidden="1" customHeight="1" spans="1:105">
      <c r="A191" s="1100">
        <v>46014</v>
      </c>
      <c r="B191" s="895" t="s">
        <v>933</v>
      </c>
      <c r="C191" s="1101" t="s">
        <v>934</v>
      </c>
      <c r="D191" s="805">
        <v>4500189691</v>
      </c>
      <c r="E191" s="285"/>
      <c r="F191" s="805" t="s">
        <v>939</v>
      </c>
      <c r="G191" s="1102" t="s">
        <v>136</v>
      </c>
      <c r="H191" s="911" t="s">
        <v>137</v>
      </c>
      <c r="I191" s="911">
        <v>600</v>
      </c>
      <c r="J191" s="911">
        <v>0</v>
      </c>
      <c r="K191" s="911">
        <v>50</v>
      </c>
      <c r="L191" s="1112">
        <f t="shared" si="52"/>
        <v>12</v>
      </c>
      <c r="M191" s="1000">
        <v>46052</v>
      </c>
      <c r="N191" s="1000">
        <v>46048</v>
      </c>
      <c r="O191" s="285"/>
      <c r="P191" s="1113"/>
      <c r="Q191" s="285"/>
      <c r="R191" s="1119">
        <v>46021</v>
      </c>
      <c r="S191" s="945" t="s">
        <v>58</v>
      </c>
      <c r="T191" s="945" t="s">
        <v>940</v>
      </c>
      <c r="U191" s="946" t="s">
        <v>941</v>
      </c>
      <c r="V191" s="1120" t="s">
        <v>938</v>
      </c>
      <c r="W191" s="1121">
        <v>1.9266</v>
      </c>
      <c r="X191" s="1122">
        <f t="shared" si="59"/>
        <v>1155.96</v>
      </c>
      <c r="Y191" s="285"/>
      <c r="Z191" s="1102" t="s">
        <v>355</v>
      </c>
      <c r="AA191" s="911" t="s">
        <v>53</v>
      </c>
      <c r="AB191" s="911" t="s">
        <v>54</v>
      </c>
      <c r="AC191" s="285"/>
      <c r="AD191" s="1130">
        <v>600</v>
      </c>
      <c r="AE191" s="1130">
        <f t="shared" si="54"/>
        <v>0</v>
      </c>
      <c r="AF191" s="1131"/>
      <c r="AG191" s="285" t="s">
        <v>55</v>
      </c>
      <c r="AH191" s="285"/>
      <c r="AI191" s="285">
        <f t="shared" si="61"/>
        <v>600</v>
      </c>
      <c r="AJ191" s="968"/>
      <c r="AK191" s="968"/>
      <c r="AL191" s="968">
        <f t="shared" si="64"/>
        <v>600</v>
      </c>
      <c r="AM191" s="1180">
        <f t="shared" si="62"/>
        <v>600</v>
      </c>
      <c r="AS191" s="805">
        <f>L191*2</f>
        <v>24</v>
      </c>
      <c r="BC191" s="1101"/>
      <c r="BD191" s="1101"/>
      <c r="BE191" s="1101"/>
      <c r="BF191" s="1101"/>
      <c r="BG191" s="1101"/>
      <c r="BL191" s="291"/>
      <c r="BM191" s="291"/>
      <c r="BN191" s="291"/>
      <c r="BO191" s="291"/>
      <c r="BP191" s="291"/>
      <c r="BQ191" s="291"/>
      <c r="BT191" s="805">
        <f t="shared" si="65"/>
        <v>24</v>
      </c>
      <c r="BU191" s="805">
        <f t="shared" si="66"/>
        <v>0</v>
      </c>
      <c r="BV191" s="291">
        <f t="shared" si="42"/>
        <v>869937</v>
      </c>
      <c r="BW191" s="291"/>
      <c r="BX191" s="291"/>
      <c r="BY191" s="975"/>
      <c r="BZ191" s="291">
        <f t="shared" si="63"/>
        <v>430063</v>
      </c>
      <c r="CA191" s="291"/>
      <c r="CF191" s="1142"/>
      <c r="CG191" s="1142"/>
      <c r="CH191" s="1142"/>
      <c r="CI191" s="1142"/>
      <c r="CJ191" s="1142"/>
      <c r="CK191" s="1142"/>
      <c r="CL191" s="1142"/>
      <c r="CM191" s="1142"/>
      <c r="CN191" s="1142"/>
      <c r="CO191" s="1142"/>
      <c r="CP191" s="1142"/>
      <c r="CQ191" s="1142"/>
      <c r="CR191" s="1142"/>
      <c r="CS191" s="1142"/>
      <c r="CT191" s="1142"/>
      <c r="CU191" s="1142"/>
      <c r="CV191" s="1142"/>
      <c r="CW191" s="1142"/>
      <c r="CX191" s="1142"/>
      <c r="CY191" s="1142"/>
      <c r="CZ191" s="1142"/>
      <c r="DA191" s="1142"/>
    </row>
    <row r="192" s="805" customFormat="1" ht="31" hidden="1" customHeight="1" spans="1:105">
      <c r="A192" s="1100">
        <v>46008</v>
      </c>
      <c r="B192" s="895" t="s">
        <v>933</v>
      </c>
      <c r="C192" s="1101" t="s">
        <v>934</v>
      </c>
      <c r="D192" s="805">
        <v>4500189203</v>
      </c>
      <c r="E192" s="285"/>
      <c r="F192" s="805" t="s">
        <v>942</v>
      </c>
      <c r="G192" s="1102" t="s">
        <v>136</v>
      </c>
      <c r="H192" s="911" t="s">
        <v>137</v>
      </c>
      <c r="I192" s="911">
        <v>600</v>
      </c>
      <c r="J192" s="911">
        <v>0</v>
      </c>
      <c r="K192" s="911">
        <v>50</v>
      </c>
      <c r="L192" s="1112">
        <f t="shared" si="52"/>
        <v>12</v>
      </c>
      <c r="M192" s="1000">
        <v>46052</v>
      </c>
      <c r="N192" s="1000">
        <v>46048</v>
      </c>
      <c r="O192" s="285"/>
      <c r="P192" s="1113"/>
      <c r="Q192" s="285"/>
      <c r="R192" s="1119">
        <v>46021</v>
      </c>
      <c r="S192" s="1119" t="s">
        <v>58</v>
      </c>
      <c r="T192" s="1119" t="s">
        <v>940</v>
      </c>
      <c r="U192" s="946" t="s">
        <v>943</v>
      </c>
      <c r="V192" s="1120" t="s">
        <v>938</v>
      </c>
      <c r="W192" s="1121">
        <v>1.9154</v>
      </c>
      <c r="X192" s="1122">
        <f t="shared" si="59"/>
        <v>1149.24</v>
      </c>
      <c r="Y192" s="285"/>
      <c r="Z192" s="1102" t="s">
        <v>355</v>
      </c>
      <c r="AA192" s="911" t="s">
        <v>53</v>
      </c>
      <c r="AB192" s="911" t="s">
        <v>54</v>
      </c>
      <c r="AC192" s="285"/>
      <c r="AD192" s="1130">
        <v>600</v>
      </c>
      <c r="AE192" s="1130">
        <f t="shared" si="54"/>
        <v>0</v>
      </c>
      <c r="AF192" s="1131"/>
      <c r="AG192" s="285" t="s">
        <v>55</v>
      </c>
      <c r="AH192" s="285"/>
      <c r="AI192" s="285">
        <f t="shared" si="61"/>
        <v>600</v>
      </c>
      <c r="AJ192" s="968"/>
      <c r="AK192" s="968"/>
      <c r="AL192" s="968">
        <f t="shared" si="64"/>
        <v>600</v>
      </c>
      <c r="AM192" s="968">
        <f t="shared" si="62"/>
        <v>600</v>
      </c>
      <c r="AS192" s="805">
        <f>L192*2</f>
        <v>24</v>
      </c>
      <c r="BC192" s="1101"/>
      <c r="BD192" s="1101"/>
      <c r="BE192" s="1101"/>
      <c r="BF192" s="1101"/>
      <c r="BG192" s="1101"/>
      <c r="BL192" s="291"/>
      <c r="BM192" s="291"/>
      <c r="BN192" s="291"/>
      <c r="BO192" s="291"/>
      <c r="BP192" s="291"/>
      <c r="BQ192" s="291"/>
      <c r="BT192" s="805">
        <f t="shared" si="65"/>
        <v>24</v>
      </c>
      <c r="BU192" s="805">
        <f t="shared" si="66"/>
        <v>0</v>
      </c>
      <c r="BV192" s="291">
        <f t="shared" si="42"/>
        <v>870537</v>
      </c>
      <c r="BW192" s="291"/>
      <c r="BX192" s="291"/>
      <c r="BY192" s="291"/>
      <c r="BZ192" s="291">
        <f t="shared" si="63"/>
        <v>429463</v>
      </c>
      <c r="CA192" s="291"/>
      <c r="CF192" s="1142"/>
      <c r="CG192" s="1142"/>
      <c r="CH192" s="1142"/>
      <c r="CI192" s="1142"/>
      <c r="CJ192" s="1142"/>
      <c r="CK192" s="1142"/>
      <c r="CL192" s="1142"/>
      <c r="CM192" s="1142"/>
      <c r="CN192" s="1142"/>
      <c r="CO192" s="1142"/>
      <c r="CP192" s="1142"/>
      <c r="CQ192" s="1142"/>
      <c r="CR192" s="1142"/>
      <c r="CS192" s="1142"/>
      <c r="CT192" s="1142"/>
      <c r="CU192" s="1142"/>
      <c r="CV192" s="1142"/>
      <c r="CW192" s="1142"/>
      <c r="CX192" s="1142"/>
      <c r="CY192" s="1142"/>
      <c r="CZ192" s="1142"/>
      <c r="DA192" s="1142"/>
    </row>
    <row r="193" s="805" customFormat="1" ht="31" hidden="1" customHeight="1" spans="1:105">
      <c r="A193" s="1100">
        <v>45999</v>
      </c>
      <c r="B193" s="895" t="s">
        <v>933</v>
      </c>
      <c r="C193" s="1101" t="s">
        <v>934</v>
      </c>
      <c r="D193" s="805">
        <v>4500188248</v>
      </c>
      <c r="E193" s="285"/>
      <c r="F193" s="805" t="s">
        <v>944</v>
      </c>
      <c r="G193" s="1102" t="s">
        <v>136</v>
      </c>
      <c r="H193" s="911" t="s">
        <v>137</v>
      </c>
      <c r="I193" s="911">
        <v>3000</v>
      </c>
      <c r="J193" s="911">
        <v>0</v>
      </c>
      <c r="K193" s="911">
        <v>50</v>
      </c>
      <c r="L193" s="1112">
        <f t="shared" si="52"/>
        <v>60</v>
      </c>
      <c r="M193" s="1000">
        <v>46052</v>
      </c>
      <c r="N193" s="1000">
        <v>46048</v>
      </c>
      <c r="O193" s="285"/>
      <c r="P193" s="1113"/>
      <c r="Q193" s="285"/>
      <c r="R193" s="1119">
        <v>46021</v>
      </c>
      <c r="S193" s="945" t="s">
        <v>58</v>
      </c>
      <c r="T193" s="945" t="s">
        <v>940</v>
      </c>
      <c r="U193" s="946" t="s">
        <v>945</v>
      </c>
      <c r="V193" s="1120" t="s">
        <v>938</v>
      </c>
      <c r="W193" s="1121">
        <v>1.9266</v>
      </c>
      <c r="X193" s="1122">
        <f t="shared" si="59"/>
        <v>5779.8</v>
      </c>
      <c r="Y193" s="285"/>
      <c r="Z193" s="1102" t="s">
        <v>355</v>
      </c>
      <c r="AA193" s="911" t="s">
        <v>53</v>
      </c>
      <c r="AB193" s="911" t="s">
        <v>54</v>
      </c>
      <c r="AC193" s="285"/>
      <c r="AD193" s="1130">
        <v>3000</v>
      </c>
      <c r="AE193" s="1130">
        <f t="shared" si="54"/>
        <v>0</v>
      </c>
      <c r="AF193" s="1131"/>
      <c r="AG193" s="285" t="s">
        <v>55</v>
      </c>
      <c r="AH193" s="285"/>
      <c r="AI193" s="285">
        <f t="shared" si="61"/>
        <v>3000</v>
      </c>
      <c r="AJ193" s="968"/>
      <c r="AK193" s="968"/>
      <c r="AL193" s="968">
        <f t="shared" si="64"/>
        <v>3000</v>
      </c>
      <c r="AM193" s="1180">
        <f t="shared" si="62"/>
        <v>3000</v>
      </c>
      <c r="AS193" s="805">
        <f>L193*2</f>
        <v>120</v>
      </c>
      <c r="BC193" s="1101"/>
      <c r="BD193" s="1101"/>
      <c r="BE193" s="1101"/>
      <c r="BF193" s="1101"/>
      <c r="BG193" s="1101"/>
      <c r="BL193" s="291"/>
      <c r="BM193" s="291"/>
      <c r="BN193" s="291"/>
      <c r="BO193" s="291"/>
      <c r="BP193" s="291"/>
      <c r="BQ193" s="291"/>
      <c r="BT193" s="805">
        <f t="shared" si="65"/>
        <v>120</v>
      </c>
      <c r="BU193" s="805">
        <f t="shared" si="66"/>
        <v>0</v>
      </c>
      <c r="BV193" s="291">
        <f t="shared" si="42"/>
        <v>873537</v>
      </c>
      <c r="BW193" s="291"/>
      <c r="BX193" s="291"/>
      <c r="BY193" s="975"/>
      <c r="BZ193" s="291">
        <f t="shared" si="63"/>
        <v>426463</v>
      </c>
      <c r="CA193" s="291"/>
      <c r="CF193" s="1142"/>
      <c r="CG193" s="1142"/>
      <c r="CH193" s="1142"/>
      <c r="CI193" s="1142"/>
      <c r="CJ193" s="1142"/>
      <c r="CK193" s="1142"/>
      <c r="CL193" s="1142"/>
      <c r="CM193" s="1142"/>
      <c r="CN193" s="1142"/>
      <c r="CO193" s="1142"/>
      <c r="CP193" s="1142"/>
      <c r="CQ193" s="1142"/>
      <c r="CR193" s="1142"/>
      <c r="CS193" s="1142"/>
      <c r="CT193" s="1142"/>
      <c r="CU193" s="1142"/>
      <c r="CV193" s="1142"/>
      <c r="CW193" s="1142"/>
      <c r="CX193" s="1142"/>
      <c r="CY193" s="1142"/>
      <c r="CZ193" s="1142"/>
      <c r="DA193" s="1142"/>
    </row>
    <row r="194" s="805" customFormat="1" ht="31" hidden="1" customHeight="1" spans="1:105">
      <c r="A194" s="1100">
        <v>46014</v>
      </c>
      <c r="B194" s="895" t="s">
        <v>933</v>
      </c>
      <c r="C194" s="1101" t="s">
        <v>934</v>
      </c>
      <c r="D194" s="805">
        <v>4500188307</v>
      </c>
      <c r="E194" s="285"/>
      <c r="F194" s="805" t="s">
        <v>946</v>
      </c>
      <c r="G194" s="1102" t="s">
        <v>136</v>
      </c>
      <c r="H194" s="911" t="s">
        <v>137</v>
      </c>
      <c r="I194" s="911">
        <v>500</v>
      </c>
      <c r="J194" s="911">
        <v>0</v>
      </c>
      <c r="K194" s="911">
        <v>50</v>
      </c>
      <c r="L194" s="1112">
        <f t="shared" si="52"/>
        <v>10</v>
      </c>
      <c r="M194" s="1000">
        <v>46052</v>
      </c>
      <c r="N194" s="1000">
        <v>46048</v>
      </c>
      <c r="O194" s="285"/>
      <c r="P194" s="1113"/>
      <c r="Q194" s="285"/>
      <c r="R194" s="1119">
        <v>46021</v>
      </c>
      <c r="S194" s="945" t="s">
        <v>58</v>
      </c>
      <c r="T194" s="945" t="s">
        <v>947</v>
      </c>
      <c r="U194" s="946" t="s">
        <v>948</v>
      </c>
      <c r="V194" s="1120" t="s">
        <v>938</v>
      </c>
      <c r="W194" s="1121">
        <v>1.9266</v>
      </c>
      <c r="X194" s="1122">
        <f t="shared" si="59"/>
        <v>963.3</v>
      </c>
      <c r="Y194" s="285"/>
      <c r="Z194" s="1102" t="s">
        <v>355</v>
      </c>
      <c r="AA194" s="911" t="s">
        <v>53</v>
      </c>
      <c r="AB194" s="911" t="s">
        <v>54</v>
      </c>
      <c r="AC194" s="285"/>
      <c r="AD194" s="1130">
        <v>500</v>
      </c>
      <c r="AE194" s="1130">
        <f t="shared" si="54"/>
        <v>0</v>
      </c>
      <c r="AF194" s="1131"/>
      <c r="AG194" s="285" t="s">
        <v>55</v>
      </c>
      <c r="AH194" s="285"/>
      <c r="AI194" s="285">
        <f t="shared" si="61"/>
        <v>500</v>
      </c>
      <c r="AJ194" s="968"/>
      <c r="AK194" s="968"/>
      <c r="AL194" s="968">
        <f t="shared" si="64"/>
        <v>500</v>
      </c>
      <c r="AM194" s="1180">
        <f t="shared" si="62"/>
        <v>500</v>
      </c>
      <c r="AR194" s="804"/>
      <c r="AS194" s="805">
        <f>L194*2</f>
        <v>20</v>
      </c>
      <c r="BC194" s="1101"/>
      <c r="BD194" s="1101"/>
      <c r="BE194" s="1101"/>
      <c r="BF194" s="1101"/>
      <c r="BG194" s="1101"/>
      <c r="BL194" s="291"/>
      <c r="BM194" s="291"/>
      <c r="BN194" s="291"/>
      <c r="BO194" s="291"/>
      <c r="BP194" s="291"/>
      <c r="BQ194" s="291"/>
      <c r="BT194" s="805">
        <f t="shared" si="65"/>
        <v>20</v>
      </c>
      <c r="BU194" s="805">
        <f t="shared" si="66"/>
        <v>0</v>
      </c>
      <c r="BV194" s="291">
        <f t="shared" si="42"/>
        <v>874037</v>
      </c>
      <c r="BW194" s="291"/>
      <c r="BX194" s="291"/>
      <c r="BY194" s="975"/>
      <c r="BZ194" s="291">
        <f t="shared" si="63"/>
        <v>425963</v>
      </c>
      <c r="CA194" s="291"/>
      <c r="CF194" s="1142"/>
      <c r="CG194" s="1142"/>
      <c r="CH194" s="1142"/>
      <c r="CI194" s="1142"/>
      <c r="CJ194" s="1142"/>
      <c r="CK194" s="1142"/>
      <c r="CL194" s="1142"/>
      <c r="CM194" s="1142"/>
      <c r="CN194" s="1142"/>
      <c r="CO194" s="1142"/>
      <c r="CP194" s="1142"/>
      <c r="CQ194" s="1142"/>
      <c r="CR194" s="1142"/>
      <c r="CS194" s="1142"/>
      <c r="CT194" s="1142"/>
      <c r="CU194" s="1142"/>
      <c r="CV194" s="1142"/>
      <c r="CW194" s="1142"/>
      <c r="CX194" s="1142"/>
      <c r="CY194" s="1142"/>
      <c r="CZ194" s="1142"/>
      <c r="DA194" s="1142"/>
    </row>
    <row r="195" s="805" customFormat="1" ht="31" hidden="1" customHeight="1" spans="1:105">
      <c r="A195" s="1100">
        <v>46015</v>
      </c>
      <c r="B195" s="895" t="s">
        <v>949</v>
      </c>
      <c r="C195" s="1171" t="s">
        <v>716</v>
      </c>
      <c r="D195" s="895">
        <v>4500189941</v>
      </c>
      <c r="E195" s="285" t="s">
        <v>950</v>
      </c>
      <c r="F195" s="895" t="s">
        <v>951</v>
      </c>
      <c r="G195" s="1102" t="s">
        <v>151</v>
      </c>
      <c r="H195" s="911" t="s">
        <v>152</v>
      </c>
      <c r="I195" s="911">
        <v>442</v>
      </c>
      <c r="J195" s="911">
        <v>0</v>
      </c>
      <c r="K195" s="911">
        <v>13</v>
      </c>
      <c r="L195" s="1112">
        <f t="shared" si="52"/>
        <v>34</v>
      </c>
      <c r="M195" s="932">
        <v>46055</v>
      </c>
      <c r="N195" s="932">
        <f>M195-4</f>
        <v>46051</v>
      </c>
      <c r="O195" s="285"/>
      <c r="P195" s="1113"/>
      <c r="Q195" s="285"/>
      <c r="R195" s="1119">
        <v>46027</v>
      </c>
      <c r="S195" s="1119" t="s">
        <v>58</v>
      </c>
      <c r="T195" s="1119" t="s">
        <v>952</v>
      </c>
      <c r="U195" s="1178" t="s">
        <v>953</v>
      </c>
      <c r="V195" s="1120" t="s">
        <v>954</v>
      </c>
      <c r="W195" s="1121">
        <v>1.8375</v>
      </c>
      <c r="X195" s="1122">
        <f t="shared" si="59"/>
        <v>812.175</v>
      </c>
      <c r="Y195" s="285"/>
      <c r="Z195" s="1102" t="s">
        <v>151</v>
      </c>
      <c r="AA195" s="911" t="s">
        <v>53</v>
      </c>
      <c r="AB195" s="911" t="s">
        <v>54</v>
      </c>
      <c r="AC195" s="285"/>
      <c r="AD195" s="1130">
        <v>442</v>
      </c>
      <c r="AE195" s="1130">
        <f t="shared" si="54"/>
        <v>0</v>
      </c>
      <c r="AF195" s="1131"/>
      <c r="AG195" s="285" t="s">
        <v>55</v>
      </c>
      <c r="AH195" s="285"/>
      <c r="AI195" s="285">
        <f t="shared" si="61"/>
        <v>442</v>
      </c>
      <c r="AJ195" s="968">
        <f>I195</f>
        <v>442</v>
      </c>
      <c r="AL195" s="968"/>
      <c r="AM195" s="805">
        <f t="shared" si="62"/>
        <v>442</v>
      </c>
      <c r="AP195" s="805">
        <f>I195/13</f>
        <v>34</v>
      </c>
      <c r="BC195" s="1101"/>
      <c r="BD195" s="1101"/>
      <c r="BE195" s="1101"/>
      <c r="BF195" s="1101"/>
      <c r="BG195" s="1101"/>
      <c r="BL195" s="291"/>
      <c r="BM195" s="291"/>
      <c r="BN195" s="291"/>
      <c r="BO195" s="291"/>
      <c r="BP195" s="291"/>
      <c r="BQ195" s="291"/>
      <c r="BT195" s="805">
        <f t="shared" si="65"/>
        <v>0</v>
      </c>
      <c r="BU195" s="805">
        <f t="shared" si="66"/>
        <v>0</v>
      </c>
      <c r="BV195" s="291">
        <f t="shared" si="42"/>
        <v>874479</v>
      </c>
      <c r="BW195" s="291"/>
      <c r="BX195" s="291"/>
      <c r="BY195" s="291"/>
      <c r="BZ195" s="291">
        <f t="shared" si="63"/>
        <v>425521</v>
      </c>
      <c r="CA195" s="291"/>
      <c r="CF195" s="1142"/>
      <c r="CG195" s="1142"/>
      <c r="CH195" s="1142"/>
      <c r="CI195" s="1142"/>
      <c r="CJ195" s="1142"/>
      <c r="CK195" s="1142"/>
      <c r="CL195" s="1142"/>
      <c r="CM195" s="1142"/>
      <c r="CN195" s="1142"/>
      <c r="CO195" s="1142"/>
      <c r="CP195" s="1142"/>
      <c r="CQ195" s="1142"/>
      <c r="CR195" s="1142"/>
      <c r="CS195" s="1142"/>
      <c r="CT195" s="1142"/>
      <c r="CU195" s="1142"/>
      <c r="CV195" s="1142"/>
      <c r="CW195" s="1142"/>
      <c r="CX195" s="1142"/>
      <c r="CY195" s="1142"/>
      <c r="CZ195" s="1142"/>
      <c r="DA195" s="1142"/>
    </row>
    <row r="196" s="805" customFormat="1" ht="31" hidden="1" customHeight="1" spans="1:105">
      <c r="A196" s="1100">
        <v>46016</v>
      </c>
      <c r="B196" s="895" t="s">
        <v>955</v>
      </c>
      <c r="C196" s="1101" t="s">
        <v>41</v>
      </c>
      <c r="D196" s="805">
        <v>4500190045</v>
      </c>
      <c r="E196" s="285"/>
      <c r="F196" s="805" t="s">
        <v>956</v>
      </c>
      <c r="G196" s="1102" t="s">
        <v>136</v>
      </c>
      <c r="H196" s="911" t="s">
        <v>137</v>
      </c>
      <c r="I196" s="911">
        <v>1500</v>
      </c>
      <c r="J196" s="911">
        <v>0</v>
      </c>
      <c r="K196" s="911">
        <v>50</v>
      </c>
      <c r="L196" s="1112">
        <f t="shared" si="52"/>
        <v>30</v>
      </c>
      <c r="M196" s="932">
        <v>46055</v>
      </c>
      <c r="N196" s="932">
        <f>M196-4</f>
        <v>46051</v>
      </c>
      <c r="O196" s="285"/>
      <c r="P196" s="1113"/>
      <c r="Q196" s="285"/>
      <c r="R196" s="1119">
        <v>46022</v>
      </c>
      <c r="S196" s="945" t="s">
        <v>58</v>
      </c>
      <c r="T196" s="945" t="s">
        <v>957</v>
      </c>
      <c r="U196" s="946" t="s">
        <v>958</v>
      </c>
      <c r="V196" s="1120" t="s">
        <v>79</v>
      </c>
      <c r="W196" s="1121">
        <v>1.9266</v>
      </c>
      <c r="X196" s="1122">
        <f t="shared" si="59"/>
        <v>2889.9</v>
      </c>
      <c r="Y196" s="285"/>
      <c r="Z196" s="1102" t="s">
        <v>355</v>
      </c>
      <c r="AA196" s="911" t="s">
        <v>53</v>
      </c>
      <c r="AB196" s="911" t="s">
        <v>54</v>
      </c>
      <c r="AC196" s="285"/>
      <c r="AD196" s="1130">
        <v>1500</v>
      </c>
      <c r="AE196" s="1130">
        <f t="shared" si="54"/>
        <v>0</v>
      </c>
      <c r="AF196" s="1131"/>
      <c r="AG196" s="285" t="s">
        <v>55</v>
      </c>
      <c r="AH196" s="285"/>
      <c r="AI196" s="285">
        <f t="shared" si="61"/>
        <v>1500</v>
      </c>
      <c r="AJ196" s="968"/>
      <c r="AK196" s="968"/>
      <c r="AL196" s="968">
        <f>I196</f>
        <v>1500</v>
      </c>
      <c r="AM196" s="1180">
        <f t="shared" si="62"/>
        <v>1500</v>
      </c>
      <c r="AS196" s="805">
        <f>L196*2</f>
        <v>60</v>
      </c>
      <c r="BC196" s="1101"/>
      <c r="BD196" s="1101"/>
      <c r="BE196" s="1101"/>
      <c r="BF196" s="1101"/>
      <c r="BG196" s="1101"/>
      <c r="BL196" s="291"/>
      <c r="BM196" s="291"/>
      <c r="BN196" s="291"/>
      <c r="BO196" s="291"/>
      <c r="BP196" s="291"/>
      <c r="BQ196" s="291"/>
      <c r="BT196" s="805">
        <f t="shared" si="65"/>
        <v>60</v>
      </c>
      <c r="BU196" s="805">
        <f t="shared" si="66"/>
        <v>0</v>
      </c>
      <c r="BV196" s="291">
        <f t="shared" ref="BV196:BV248" si="67">AI196+BV195</f>
        <v>875979</v>
      </c>
      <c r="BW196" s="291"/>
      <c r="BX196" s="291"/>
      <c r="BY196" s="975"/>
      <c r="BZ196" s="291">
        <f t="shared" si="63"/>
        <v>424021</v>
      </c>
      <c r="CA196" s="291"/>
      <c r="CF196" s="1142"/>
      <c r="CG196" s="1142"/>
      <c r="CH196" s="1142"/>
      <c r="CI196" s="1142"/>
      <c r="CJ196" s="1142"/>
      <c r="CK196" s="1142"/>
      <c r="CL196" s="1142"/>
      <c r="CM196" s="1142"/>
      <c r="CN196" s="1142"/>
      <c r="CO196" s="1142"/>
      <c r="CP196" s="1142"/>
      <c r="CQ196" s="1142"/>
      <c r="CR196" s="1142"/>
      <c r="CS196" s="1142"/>
      <c r="CT196" s="1142"/>
      <c r="CU196" s="1142"/>
      <c r="CV196" s="1142"/>
      <c r="CW196" s="1142"/>
      <c r="CX196" s="1142"/>
      <c r="CY196" s="1142"/>
      <c r="CZ196" s="1142"/>
      <c r="DA196" s="1142"/>
    </row>
    <row r="197" s="805" customFormat="1" ht="31" hidden="1" customHeight="1" spans="1:105">
      <c r="A197" s="1100">
        <v>46027</v>
      </c>
      <c r="B197" s="895" t="s">
        <v>959</v>
      </c>
      <c r="C197" s="1101" t="s">
        <v>41</v>
      </c>
      <c r="D197" s="805">
        <v>4500190462</v>
      </c>
      <c r="E197" s="285"/>
      <c r="F197" s="805" t="s">
        <v>960</v>
      </c>
      <c r="G197" s="1102" t="s">
        <v>136</v>
      </c>
      <c r="H197" s="911" t="s">
        <v>137</v>
      </c>
      <c r="I197" s="911">
        <v>4000</v>
      </c>
      <c r="J197" s="911">
        <v>0</v>
      </c>
      <c r="K197" s="911">
        <v>50</v>
      </c>
      <c r="L197" s="1112">
        <f t="shared" si="52"/>
        <v>80</v>
      </c>
      <c r="M197" s="932">
        <v>46058</v>
      </c>
      <c r="N197" s="932">
        <v>46055</v>
      </c>
      <c r="O197" s="285" t="s">
        <v>961</v>
      </c>
      <c r="P197" s="1113"/>
      <c r="Q197" s="285"/>
      <c r="R197" s="1119">
        <v>46035</v>
      </c>
      <c r="S197" s="945" t="s">
        <v>58</v>
      </c>
      <c r="T197" s="1119" t="s">
        <v>962</v>
      </c>
      <c r="U197" s="946" t="s">
        <v>963</v>
      </c>
      <c r="V197" s="1120" t="s">
        <v>938</v>
      </c>
      <c r="W197" s="1121">
        <v>1.9266</v>
      </c>
      <c r="X197" s="1122">
        <f t="shared" si="59"/>
        <v>7706.4</v>
      </c>
      <c r="Y197" s="285"/>
      <c r="Z197" s="1102" t="s">
        <v>355</v>
      </c>
      <c r="AA197" s="911" t="s">
        <v>53</v>
      </c>
      <c r="AB197" s="911" t="s">
        <v>54</v>
      </c>
      <c r="AC197" s="285"/>
      <c r="AD197" s="1130">
        <v>4000</v>
      </c>
      <c r="AE197" s="1130">
        <f t="shared" si="54"/>
        <v>0</v>
      </c>
      <c r="AF197" s="1131"/>
      <c r="AG197" s="285" t="s">
        <v>964</v>
      </c>
      <c r="AH197" s="285"/>
      <c r="AI197" s="285">
        <f t="shared" si="61"/>
        <v>4000</v>
      </c>
      <c r="AJ197" s="968"/>
      <c r="AK197" s="968"/>
      <c r="AL197" s="968">
        <f>I197</f>
        <v>4000</v>
      </c>
      <c r="AM197" s="1180">
        <f t="shared" si="62"/>
        <v>4000</v>
      </c>
      <c r="AS197" s="805">
        <f>L197*2</f>
        <v>160</v>
      </c>
      <c r="BC197" s="1101"/>
      <c r="BD197" s="1101"/>
      <c r="BE197" s="1101"/>
      <c r="BF197" s="1101"/>
      <c r="BG197" s="1101"/>
      <c r="BL197" s="291"/>
      <c r="BM197" s="291"/>
      <c r="BN197" s="291"/>
      <c r="BO197" s="291"/>
      <c r="BP197" s="291"/>
      <c r="BQ197" s="291"/>
      <c r="BT197" s="805">
        <f t="shared" si="65"/>
        <v>160</v>
      </c>
      <c r="BU197" s="805">
        <f t="shared" si="66"/>
        <v>0</v>
      </c>
      <c r="BV197" s="291">
        <f t="shared" si="67"/>
        <v>879979</v>
      </c>
      <c r="BW197" s="291"/>
      <c r="BX197" s="291"/>
      <c r="BY197" s="975"/>
      <c r="BZ197" s="291">
        <f t="shared" si="63"/>
        <v>420021</v>
      </c>
      <c r="CA197" s="291"/>
      <c r="CF197" s="1142"/>
      <c r="CG197" s="1142"/>
      <c r="CH197" s="1142"/>
      <c r="CI197" s="1142"/>
      <c r="CJ197" s="1142"/>
      <c r="CK197" s="1142"/>
      <c r="CL197" s="1142"/>
      <c r="CM197" s="1142"/>
      <c r="CN197" s="1142"/>
      <c r="CO197" s="1142"/>
      <c r="CP197" s="1142"/>
      <c r="CQ197" s="1142"/>
      <c r="CR197" s="1142"/>
      <c r="CS197" s="1142"/>
      <c r="CT197" s="1142"/>
      <c r="CU197" s="1142"/>
      <c r="CV197" s="1142"/>
      <c r="CW197" s="1142"/>
      <c r="CX197" s="1142"/>
      <c r="CY197" s="1142"/>
      <c r="CZ197" s="1142"/>
      <c r="DA197" s="1142"/>
    </row>
    <row r="198" s="805" customFormat="1" ht="31" hidden="1" customHeight="1" spans="1:105">
      <c r="A198" s="1100">
        <v>46016</v>
      </c>
      <c r="B198" s="895" t="s">
        <v>199</v>
      </c>
      <c r="C198" s="1101" t="s">
        <v>84</v>
      </c>
      <c r="D198" s="805">
        <v>4500189982</v>
      </c>
      <c r="E198" s="1298" t="s">
        <v>965</v>
      </c>
      <c r="F198" s="805" t="s">
        <v>966</v>
      </c>
      <c r="G198" s="1102" t="s">
        <v>202</v>
      </c>
      <c r="H198" s="911" t="s">
        <v>203</v>
      </c>
      <c r="I198" s="911">
        <v>960</v>
      </c>
      <c r="J198" s="911">
        <v>0</v>
      </c>
      <c r="K198" s="911">
        <v>16</v>
      </c>
      <c r="L198" s="1112">
        <f t="shared" si="52"/>
        <v>60</v>
      </c>
      <c r="M198" s="932">
        <v>46059</v>
      </c>
      <c r="N198" s="932">
        <v>46055</v>
      </c>
      <c r="O198" s="285" t="s">
        <v>967</v>
      </c>
      <c r="P198" s="1113"/>
      <c r="Q198" s="285"/>
      <c r="R198" s="1119" t="s">
        <v>968</v>
      </c>
      <c r="S198" s="1119" t="s">
        <v>58</v>
      </c>
      <c r="T198" s="1119" t="s">
        <v>969</v>
      </c>
      <c r="U198" s="946" t="s">
        <v>970</v>
      </c>
      <c r="V198" s="1120" t="s">
        <v>207</v>
      </c>
      <c r="W198" s="1121">
        <v>1.2079</v>
      </c>
      <c r="X198" s="1122">
        <f t="shared" si="59"/>
        <v>1159.584</v>
      </c>
      <c r="Y198" s="285"/>
      <c r="Z198" s="1102" t="s">
        <v>202</v>
      </c>
      <c r="AA198" s="911" t="s">
        <v>53</v>
      </c>
      <c r="AB198" s="911" t="s">
        <v>54</v>
      </c>
      <c r="AC198" s="285"/>
      <c r="AD198" s="1130">
        <v>960</v>
      </c>
      <c r="AE198" s="1130">
        <f t="shared" ref="AE198:AE216" si="68">AD198-I198</f>
        <v>0</v>
      </c>
      <c r="AF198" s="1131"/>
      <c r="AG198" s="285" t="s">
        <v>55</v>
      </c>
      <c r="AH198" s="285"/>
      <c r="AI198" s="285">
        <f t="shared" ref="AI198:AI203" si="69">I198</f>
        <v>960</v>
      </c>
      <c r="AJ198" s="968">
        <f t="shared" ref="AJ198:AJ203" si="70">I198</f>
        <v>960</v>
      </c>
      <c r="AK198" s="968"/>
      <c r="AL198" s="968"/>
      <c r="AM198" s="805">
        <f t="shared" ref="AM198:AM203" si="71">I198</f>
        <v>960</v>
      </c>
      <c r="AW198" s="805">
        <f t="shared" ref="AW198:AW203" si="72">I198/16</f>
        <v>60</v>
      </c>
      <c r="BC198" s="1101"/>
      <c r="BD198" s="1101"/>
      <c r="BE198" s="1101"/>
      <c r="BF198" s="1101"/>
      <c r="BG198" s="1101"/>
      <c r="BL198" s="291"/>
      <c r="BM198" s="291"/>
      <c r="BN198" s="291"/>
      <c r="BO198" s="291"/>
      <c r="BP198" s="291"/>
      <c r="BQ198" s="291"/>
      <c r="BT198" s="805">
        <f t="shared" ref="BT198:BT216" si="73">AR198+AS198+AW198</f>
        <v>60</v>
      </c>
      <c r="BU198" s="805">
        <f t="shared" ref="BU198:BU216" si="74">BD198+BE198+BG198</f>
        <v>0</v>
      </c>
      <c r="BV198" s="291">
        <f t="shared" si="67"/>
        <v>880939</v>
      </c>
      <c r="BW198" s="291"/>
      <c r="BX198" s="291"/>
      <c r="BY198" s="975"/>
      <c r="BZ198" s="291">
        <f t="shared" si="63"/>
        <v>419061</v>
      </c>
      <c r="CA198" s="291"/>
      <c r="CF198" s="1142"/>
      <c r="CG198" s="1142"/>
      <c r="CH198" s="1142"/>
      <c r="CI198" s="1142"/>
      <c r="CJ198" s="1142"/>
      <c r="CK198" s="1142"/>
      <c r="CL198" s="1142"/>
      <c r="CM198" s="1142"/>
      <c r="CN198" s="1142"/>
      <c r="CO198" s="1142"/>
      <c r="CP198" s="1142"/>
      <c r="CQ198" s="1142"/>
      <c r="CR198" s="1142"/>
      <c r="CS198" s="1142"/>
      <c r="CT198" s="1142"/>
      <c r="CU198" s="1142"/>
      <c r="CV198" s="1142"/>
      <c r="CW198" s="1142"/>
      <c r="CX198" s="1142"/>
      <c r="CY198" s="1142"/>
      <c r="CZ198" s="1142"/>
      <c r="DA198" s="1142"/>
    </row>
    <row r="199" s="805" customFormat="1" ht="31" hidden="1" customHeight="1" spans="1:105">
      <c r="A199" s="1100">
        <v>46016</v>
      </c>
      <c r="B199" s="895" t="s">
        <v>199</v>
      </c>
      <c r="C199" s="1101" t="s">
        <v>84</v>
      </c>
      <c r="D199" s="805">
        <v>4500189982</v>
      </c>
      <c r="E199" s="1298" t="s">
        <v>971</v>
      </c>
      <c r="F199" s="805" t="s">
        <v>972</v>
      </c>
      <c r="G199" s="1102" t="s">
        <v>202</v>
      </c>
      <c r="H199" s="911" t="s">
        <v>203</v>
      </c>
      <c r="I199" s="911">
        <v>960</v>
      </c>
      <c r="J199" s="911">
        <v>0</v>
      </c>
      <c r="K199" s="911">
        <v>16</v>
      </c>
      <c r="L199" s="1112">
        <f t="shared" si="52"/>
        <v>60</v>
      </c>
      <c r="M199" s="932">
        <v>46059</v>
      </c>
      <c r="N199" s="932">
        <v>46055</v>
      </c>
      <c r="O199" s="285" t="s">
        <v>973</v>
      </c>
      <c r="P199" s="1113"/>
      <c r="Q199" s="285"/>
      <c r="R199" s="1119" t="s">
        <v>968</v>
      </c>
      <c r="S199" s="1119" t="s">
        <v>58</v>
      </c>
      <c r="T199" s="1119" t="s">
        <v>969</v>
      </c>
      <c r="U199" s="946" t="s">
        <v>970</v>
      </c>
      <c r="V199" s="1120" t="s">
        <v>207</v>
      </c>
      <c r="W199" s="1121">
        <v>1.2079</v>
      </c>
      <c r="X199" s="1122">
        <f t="shared" si="59"/>
        <v>1159.584</v>
      </c>
      <c r="Y199" s="285"/>
      <c r="Z199" s="1102" t="s">
        <v>202</v>
      </c>
      <c r="AA199" s="911" t="s">
        <v>53</v>
      </c>
      <c r="AB199" s="911" t="s">
        <v>54</v>
      </c>
      <c r="AC199" s="285"/>
      <c r="AD199" s="1130">
        <v>960</v>
      </c>
      <c r="AE199" s="1130">
        <f t="shared" si="68"/>
        <v>0</v>
      </c>
      <c r="AF199" s="1131"/>
      <c r="AG199" s="285" t="s">
        <v>55</v>
      </c>
      <c r="AH199" s="285"/>
      <c r="AI199" s="285">
        <f t="shared" si="69"/>
        <v>960</v>
      </c>
      <c r="AJ199" s="968">
        <f t="shared" si="70"/>
        <v>960</v>
      </c>
      <c r="AK199" s="968"/>
      <c r="AL199" s="968"/>
      <c r="AM199" s="805">
        <f t="shared" si="71"/>
        <v>960</v>
      </c>
      <c r="AW199" s="805">
        <f t="shared" si="72"/>
        <v>60</v>
      </c>
      <c r="BC199" s="1101"/>
      <c r="BD199" s="1101"/>
      <c r="BE199" s="1101"/>
      <c r="BF199" s="1101"/>
      <c r="BG199" s="1101"/>
      <c r="BL199" s="291"/>
      <c r="BM199" s="291"/>
      <c r="BN199" s="291"/>
      <c r="BO199" s="291"/>
      <c r="BP199" s="291"/>
      <c r="BQ199" s="291"/>
      <c r="BT199" s="805">
        <f t="shared" si="73"/>
        <v>60</v>
      </c>
      <c r="BU199" s="805">
        <f t="shared" si="74"/>
        <v>0</v>
      </c>
      <c r="BV199" s="291">
        <f t="shared" si="67"/>
        <v>881899</v>
      </c>
      <c r="BW199" s="291"/>
      <c r="BX199" s="291"/>
      <c r="BY199" s="975"/>
      <c r="BZ199" s="291">
        <f t="shared" si="63"/>
        <v>418101</v>
      </c>
      <c r="CA199" s="291"/>
      <c r="CF199" s="1142"/>
      <c r="CG199" s="1142"/>
      <c r="CH199" s="1142"/>
      <c r="CI199" s="1142"/>
      <c r="CJ199" s="1142"/>
      <c r="CK199" s="1142"/>
      <c r="CL199" s="1142"/>
      <c r="CM199" s="1142"/>
      <c r="CN199" s="1142"/>
      <c r="CO199" s="1142"/>
      <c r="CP199" s="1142"/>
      <c r="CQ199" s="1142"/>
      <c r="CR199" s="1142"/>
      <c r="CS199" s="1142"/>
      <c r="CT199" s="1142"/>
      <c r="CU199" s="1142"/>
      <c r="CV199" s="1142"/>
      <c r="CW199" s="1142"/>
      <c r="CX199" s="1142"/>
      <c r="CY199" s="1142"/>
      <c r="CZ199" s="1142"/>
      <c r="DA199" s="1142"/>
    </row>
    <row r="200" s="805" customFormat="1" ht="31" hidden="1" customHeight="1" spans="1:105">
      <c r="A200" s="1100">
        <v>46016</v>
      </c>
      <c r="B200" s="895" t="s">
        <v>199</v>
      </c>
      <c r="C200" s="1101" t="s">
        <v>84</v>
      </c>
      <c r="D200" s="805">
        <v>4500189982</v>
      </c>
      <c r="E200" s="1298" t="s">
        <v>974</v>
      </c>
      <c r="F200" s="805" t="s">
        <v>975</v>
      </c>
      <c r="G200" s="1102" t="s">
        <v>202</v>
      </c>
      <c r="H200" s="911" t="s">
        <v>203</v>
      </c>
      <c r="I200" s="911">
        <v>960</v>
      </c>
      <c r="J200" s="911">
        <v>0</v>
      </c>
      <c r="K200" s="911">
        <v>16</v>
      </c>
      <c r="L200" s="1112">
        <f t="shared" si="52"/>
        <v>60</v>
      </c>
      <c r="M200" s="932">
        <v>46059</v>
      </c>
      <c r="N200" s="932">
        <v>46055</v>
      </c>
      <c r="O200" s="285" t="s">
        <v>967</v>
      </c>
      <c r="P200" s="1113"/>
      <c r="Q200" s="285"/>
      <c r="R200" s="1119" t="s">
        <v>968</v>
      </c>
      <c r="S200" s="1119" t="s">
        <v>58</v>
      </c>
      <c r="T200" s="1119" t="s">
        <v>969</v>
      </c>
      <c r="U200" s="946" t="s">
        <v>970</v>
      </c>
      <c r="V200" s="1120" t="s">
        <v>207</v>
      </c>
      <c r="W200" s="1121">
        <v>1.2079</v>
      </c>
      <c r="X200" s="1122">
        <f t="shared" si="59"/>
        <v>1159.584</v>
      </c>
      <c r="Y200" s="285"/>
      <c r="Z200" s="1102" t="s">
        <v>202</v>
      </c>
      <c r="AA200" s="911" t="s">
        <v>53</v>
      </c>
      <c r="AB200" s="911" t="s">
        <v>54</v>
      </c>
      <c r="AC200" s="285"/>
      <c r="AD200" s="1130">
        <v>960</v>
      </c>
      <c r="AE200" s="1130">
        <f t="shared" si="68"/>
        <v>0</v>
      </c>
      <c r="AF200" s="1131"/>
      <c r="AG200" s="285" t="s">
        <v>55</v>
      </c>
      <c r="AH200" s="285"/>
      <c r="AI200" s="285">
        <f t="shared" si="69"/>
        <v>960</v>
      </c>
      <c r="AJ200" s="968">
        <f t="shared" si="70"/>
        <v>960</v>
      </c>
      <c r="AK200" s="968"/>
      <c r="AL200" s="968"/>
      <c r="AM200" s="805">
        <f t="shared" si="71"/>
        <v>960</v>
      </c>
      <c r="AW200" s="805">
        <f t="shared" si="72"/>
        <v>60</v>
      </c>
      <c r="BC200" s="1101"/>
      <c r="BD200" s="1101"/>
      <c r="BE200" s="1101"/>
      <c r="BF200" s="1101"/>
      <c r="BG200" s="1101"/>
      <c r="BL200" s="291"/>
      <c r="BM200" s="291"/>
      <c r="BN200" s="291"/>
      <c r="BO200" s="291"/>
      <c r="BP200" s="291"/>
      <c r="BQ200" s="291"/>
      <c r="BT200" s="805">
        <f t="shared" si="73"/>
        <v>60</v>
      </c>
      <c r="BU200" s="805">
        <f t="shared" si="74"/>
        <v>0</v>
      </c>
      <c r="BV200" s="291">
        <f t="shared" si="67"/>
        <v>882859</v>
      </c>
      <c r="BW200" s="291"/>
      <c r="BX200" s="291"/>
      <c r="BY200" s="975"/>
      <c r="BZ200" s="291">
        <f t="shared" si="63"/>
        <v>417141</v>
      </c>
      <c r="CA200" s="291"/>
      <c r="CF200" s="1142"/>
      <c r="CG200" s="1142"/>
      <c r="CH200" s="1142"/>
      <c r="CI200" s="1142"/>
      <c r="CJ200" s="1142"/>
      <c r="CK200" s="1142"/>
      <c r="CL200" s="1142"/>
      <c r="CM200" s="1142"/>
      <c r="CN200" s="1142"/>
      <c r="CO200" s="1142"/>
      <c r="CP200" s="1142"/>
      <c r="CQ200" s="1142"/>
      <c r="CR200" s="1142"/>
      <c r="CS200" s="1142"/>
      <c r="CT200" s="1142"/>
      <c r="CU200" s="1142"/>
      <c r="CV200" s="1142"/>
      <c r="CW200" s="1142"/>
      <c r="CX200" s="1142"/>
      <c r="CY200" s="1142"/>
      <c r="CZ200" s="1142"/>
      <c r="DA200" s="1142"/>
    </row>
    <row r="201" s="805" customFormat="1" ht="31" hidden="1" customHeight="1" spans="1:105">
      <c r="A201" s="1100">
        <v>46016</v>
      </c>
      <c r="B201" s="895" t="s">
        <v>199</v>
      </c>
      <c r="C201" s="1101" t="s">
        <v>84</v>
      </c>
      <c r="D201" s="805">
        <v>4500189982</v>
      </c>
      <c r="E201" s="1298" t="s">
        <v>976</v>
      </c>
      <c r="F201" s="805" t="s">
        <v>977</v>
      </c>
      <c r="G201" s="1102" t="s">
        <v>202</v>
      </c>
      <c r="H201" s="911" t="s">
        <v>203</v>
      </c>
      <c r="I201" s="911">
        <v>960</v>
      </c>
      <c r="J201" s="911">
        <v>0</v>
      </c>
      <c r="K201" s="911">
        <v>16</v>
      </c>
      <c r="L201" s="1112">
        <f t="shared" si="52"/>
        <v>60</v>
      </c>
      <c r="M201" s="932">
        <v>46059</v>
      </c>
      <c r="N201" s="932">
        <v>46055</v>
      </c>
      <c r="O201" s="285" t="s">
        <v>978</v>
      </c>
      <c r="P201" s="1113"/>
      <c r="Q201" s="285"/>
      <c r="R201" s="1119" t="s">
        <v>968</v>
      </c>
      <c r="S201" s="1119" t="s">
        <v>58</v>
      </c>
      <c r="T201" s="1119" t="s">
        <v>969</v>
      </c>
      <c r="U201" s="946" t="s">
        <v>970</v>
      </c>
      <c r="V201" s="1120" t="s">
        <v>207</v>
      </c>
      <c r="W201" s="1121">
        <v>1.2079</v>
      </c>
      <c r="X201" s="1122">
        <f t="shared" si="59"/>
        <v>1159.584</v>
      </c>
      <c r="Y201" s="285"/>
      <c r="Z201" s="1102" t="s">
        <v>202</v>
      </c>
      <c r="AA201" s="911" t="s">
        <v>53</v>
      </c>
      <c r="AB201" s="911" t="s">
        <v>54</v>
      </c>
      <c r="AC201" s="285"/>
      <c r="AD201" s="1130">
        <v>960</v>
      </c>
      <c r="AE201" s="1130">
        <f t="shared" si="68"/>
        <v>0</v>
      </c>
      <c r="AF201" s="1131"/>
      <c r="AG201" s="285" t="s">
        <v>55</v>
      </c>
      <c r="AH201" s="285"/>
      <c r="AI201" s="285">
        <f t="shared" si="69"/>
        <v>960</v>
      </c>
      <c r="AJ201" s="968">
        <f t="shared" si="70"/>
        <v>960</v>
      </c>
      <c r="AK201" s="968"/>
      <c r="AL201" s="968"/>
      <c r="AM201" s="805">
        <f t="shared" si="71"/>
        <v>960</v>
      </c>
      <c r="AW201" s="805">
        <f t="shared" si="72"/>
        <v>60</v>
      </c>
      <c r="BC201" s="1101"/>
      <c r="BD201" s="1101"/>
      <c r="BE201" s="1101"/>
      <c r="BF201" s="1101"/>
      <c r="BG201" s="1101"/>
      <c r="BL201" s="291"/>
      <c r="BM201" s="291"/>
      <c r="BN201" s="291"/>
      <c r="BO201" s="291"/>
      <c r="BP201" s="291"/>
      <c r="BQ201" s="291"/>
      <c r="BT201" s="805">
        <f t="shared" si="73"/>
        <v>60</v>
      </c>
      <c r="BU201" s="805">
        <f t="shared" si="74"/>
        <v>0</v>
      </c>
      <c r="BV201" s="291">
        <f t="shared" si="67"/>
        <v>883819</v>
      </c>
      <c r="BW201" s="291"/>
      <c r="BX201" s="291"/>
      <c r="BY201" s="975"/>
      <c r="BZ201" s="291">
        <f t="shared" si="63"/>
        <v>416181</v>
      </c>
      <c r="CA201" s="291"/>
      <c r="CF201" s="1142"/>
      <c r="CG201" s="1142"/>
      <c r="CH201" s="1142"/>
      <c r="CI201" s="1142"/>
      <c r="CJ201" s="1142"/>
      <c r="CK201" s="1142"/>
      <c r="CL201" s="1142"/>
      <c r="CM201" s="1142"/>
      <c r="CN201" s="1142"/>
      <c r="CO201" s="1142"/>
      <c r="CP201" s="1142"/>
      <c r="CQ201" s="1142"/>
      <c r="CR201" s="1142"/>
      <c r="CS201" s="1142"/>
      <c r="CT201" s="1142"/>
      <c r="CU201" s="1142"/>
      <c r="CV201" s="1142"/>
      <c r="CW201" s="1142"/>
      <c r="CX201" s="1142"/>
      <c r="CY201" s="1142"/>
      <c r="CZ201" s="1142"/>
      <c r="DA201" s="1142"/>
    </row>
    <row r="202" s="805" customFormat="1" ht="31" hidden="1" customHeight="1" spans="1:105">
      <c r="A202" s="1100">
        <v>46016</v>
      </c>
      <c r="B202" s="895" t="s">
        <v>199</v>
      </c>
      <c r="C202" s="1101" t="s">
        <v>84</v>
      </c>
      <c r="D202" s="805">
        <v>4500189982</v>
      </c>
      <c r="E202" s="1298" t="s">
        <v>979</v>
      </c>
      <c r="F202" s="805" t="s">
        <v>980</v>
      </c>
      <c r="G202" s="1102" t="s">
        <v>202</v>
      </c>
      <c r="H202" s="911" t="s">
        <v>203</v>
      </c>
      <c r="I202" s="911">
        <v>960</v>
      </c>
      <c r="J202" s="911">
        <v>0</v>
      </c>
      <c r="K202" s="911">
        <v>16</v>
      </c>
      <c r="L202" s="1112">
        <f t="shared" si="52"/>
        <v>60</v>
      </c>
      <c r="M202" s="932">
        <v>46059</v>
      </c>
      <c r="N202" s="932">
        <v>46055</v>
      </c>
      <c r="O202" s="285" t="s">
        <v>978</v>
      </c>
      <c r="P202" s="1113"/>
      <c r="Q202" s="285"/>
      <c r="R202" s="1119" t="s">
        <v>968</v>
      </c>
      <c r="S202" s="1119" t="s">
        <v>58</v>
      </c>
      <c r="T202" s="1119" t="s">
        <v>969</v>
      </c>
      <c r="U202" s="946" t="s">
        <v>970</v>
      </c>
      <c r="V202" s="1120" t="s">
        <v>207</v>
      </c>
      <c r="W202" s="1121">
        <v>1.2079</v>
      </c>
      <c r="X202" s="1122">
        <f t="shared" si="59"/>
        <v>1159.584</v>
      </c>
      <c r="Y202" s="285"/>
      <c r="Z202" s="1102" t="s">
        <v>202</v>
      </c>
      <c r="AA202" s="911" t="s">
        <v>53</v>
      </c>
      <c r="AB202" s="911" t="s">
        <v>54</v>
      </c>
      <c r="AC202" s="285"/>
      <c r="AD202" s="1130">
        <v>960</v>
      </c>
      <c r="AE202" s="1130">
        <f t="shared" si="68"/>
        <v>0</v>
      </c>
      <c r="AF202" s="1131"/>
      <c r="AG202" s="285" t="s">
        <v>55</v>
      </c>
      <c r="AH202" s="285"/>
      <c r="AI202" s="285">
        <f t="shared" si="69"/>
        <v>960</v>
      </c>
      <c r="AJ202" s="968">
        <f t="shared" si="70"/>
        <v>960</v>
      </c>
      <c r="AK202" s="968"/>
      <c r="AL202" s="968"/>
      <c r="AM202" s="805">
        <f t="shared" si="71"/>
        <v>960</v>
      </c>
      <c r="AW202" s="805">
        <f t="shared" si="72"/>
        <v>60</v>
      </c>
      <c r="BC202" s="1101"/>
      <c r="BD202" s="1101"/>
      <c r="BE202" s="1101"/>
      <c r="BF202" s="1101"/>
      <c r="BG202" s="1101"/>
      <c r="BL202" s="291"/>
      <c r="BM202" s="291"/>
      <c r="BN202" s="291"/>
      <c r="BO202" s="291"/>
      <c r="BP202" s="291"/>
      <c r="BQ202" s="291"/>
      <c r="BT202" s="805">
        <f t="shared" si="73"/>
        <v>60</v>
      </c>
      <c r="BU202" s="805">
        <f t="shared" si="74"/>
        <v>0</v>
      </c>
      <c r="BV202" s="291">
        <f t="shared" si="67"/>
        <v>884779</v>
      </c>
      <c r="BW202" s="291"/>
      <c r="BX202" s="291"/>
      <c r="BY202" s="975"/>
      <c r="BZ202" s="291">
        <f t="shared" si="63"/>
        <v>415221</v>
      </c>
      <c r="CA202" s="291"/>
      <c r="CF202" s="1142"/>
      <c r="CG202" s="1142"/>
      <c r="CH202" s="1142"/>
      <c r="CI202" s="1142"/>
      <c r="CJ202" s="1142"/>
      <c r="CK202" s="1142"/>
      <c r="CL202" s="1142"/>
      <c r="CM202" s="1142"/>
      <c r="CN202" s="1142"/>
      <c r="CO202" s="1142"/>
      <c r="CP202" s="1142"/>
      <c r="CQ202" s="1142"/>
      <c r="CR202" s="1142"/>
      <c r="CS202" s="1142"/>
      <c r="CT202" s="1142"/>
      <c r="CU202" s="1142"/>
      <c r="CV202" s="1142"/>
      <c r="CW202" s="1142"/>
      <c r="CX202" s="1142"/>
      <c r="CY202" s="1142"/>
      <c r="CZ202" s="1142"/>
      <c r="DA202" s="1142"/>
    </row>
    <row r="203" s="805" customFormat="1" ht="31" hidden="1" customHeight="1" spans="1:105">
      <c r="A203" s="1100">
        <v>46016</v>
      </c>
      <c r="B203" s="895" t="s">
        <v>199</v>
      </c>
      <c r="C203" s="1101" t="s">
        <v>84</v>
      </c>
      <c r="D203" s="805">
        <v>4500189983</v>
      </c>
      <c r="E203" s="1298" t="s">
        <v>981</v>
      </c>
      <c r="F203" s="805" t="s">
        <v>982</v>
      </c>
      <c r="G203" s="1102" t="s">
        <v>202</v>
      </c>
      <c r="H203" s="911" t="s">
        <v>203</v>
      </c>
      <c r="I203" s="911">
        <v>960</v>
      </c>
      <c r="J203" s="911">
        <v>0</v>
      </c>
      <c r="K203" s="911">
        <v>16</v>
      </c>
      <c r="L203" s="1112">
        <f t="shared" si="52"/>
        <v>60</v>
      </c>
      <c r="M203" s="932">
        <v>46076</v>
      </c>
      <c r="N203" s="932">
        <f>M203-4</f>
        <v>46072</v>
      </c>
      <c r="O203" s="1189" t="s">
        <v>983</v>
      </c>
      <c r="P203" s="1113"/>
      <c r="Q203" s="285"/>
      <c r="R203" s="1119" t="s">
        <v>968</v>
      </c>
      <c r="S203" s="1119" t="s">
        <v>58</v>
      </c>
      <c r="T203" s="1119" t="s">
        <v>969</v>
      </c>
      <c r="U203" s="946" t="s">
        <v>252</v>
      </c>
      <c r="V203" s="1120" t="s">
        <v>207</v>
      </c>
      <c r="W203" s="1121">
        <v>1.2079</v>
      </c>
      <c r="X203" s="1122">
        <f t="shared" si="59"/>
        <v>1159.584</v>
      </c>
      <c r="Y203" s="285"/>
      <c r="Z203" s="1102" t="s">
        <v>202</v>
      </c>
      <c r="AA203" s="911" t="s">
        <v>53</v>
      </c>
      <c r="AB203" s="911" t="s">
        <v>54</v>
      </c>
      <c r="AC203" s="285"/>
      <c r="AD203" s="1130">
        <v>960</v>
      </c>
      <c r="AE203" s="1130">
        <f t="shared" si="68"/>
        <v>0</v>
      </c>
      <c r="AF203" s="1131"/>
      <c r="AG203" s="285" t="s">
        <v>55</v>
      </c>
      <c r="AH203" s="285"/>
      <c r="AI203" s="285">
        <f t="shared" si="69"/>
        <v>960</v>
      </c>
      <c r="AJ203" s="968">
        <f t="shared" si="70"/>
        <v>960</v>
      </c>
      <c r="AK203" s="968"/>
      <c r="AL203" s="968"/>
      <c r="AM203" s="805">
        <f t="shared" si="71"/>
        <v>960</v>
      </c>
      <c r="AW203" s="805">
        <f t="shared" si="72"/>
        <v>60</v>
      </c>
      <c r="BC203" s="1101"/>
      <c r="BD203" s="1101"/>
      <c r="BE203" s="1101"/>
      <c r="BF203" s="1101"/>
      <c r="BG203" s="1101"/>
      <c r="BL203" s="291"/>
      <c r="BM203" s="291"/>
      <c r="BN203" s="291"/>
      <c r="BO203" s="291"/>
      <c r="BP203" s="291"/>
      <c r="BQ203" s="291"/>
      <c r="BT203" s="805">
        <f t="shared" si="73"/>
        <v>60</v>
      </c>
      <c r="BU203" s="805">
        <f t="shared" si="74"/>
        <v>0</v>
      </c>
      <c r="BV203" s="291">
        <f t="shared" si="67"/>
        <v>885739</v>
      </c>
      <c r="BW203" s="291"/>
      <c r="BX203" s="291"/>
      <c r="BY203" s="975"/>
      <c r="BZ203" s="291">
        <f t="shared" si="63"/>
        <v>414261</v>
      </c>
      <c r="CA203" s="291"/>
      <c r="CF203" s="1142"/>
      <c r="CG203" s="1142"/>
      <c r="CH203" s="1142"/>
      <c r="CI203" s="1142"/>
      <c r="CJ203" s="1142"/>
      <c r="CK203" s="1142"/>
      <c r="CL203" s="1142"/>
      <c r="CM203" s="1142"/>
      <c r="CN203" s="1142"/>
      <c r="CO203" s="1142"/>
      <c r="CP203" s="1142"/>
      <c r="CQ203" s="1142"/>
      <c r="CR203" s="1142"/>
      <c r="CS203" s="1142"/>
      <c r="CT203" s="1142"/>
      <c r="CU203" s="1142"/>
      <c r="CV203" s="1142"/>
      <c r="CW203" s="1142"/>
      <c r="CX203" s="1142"/>
      <c r="CY203" s="1142"/>
      <c r="CZ203" s="1142"/>
      <c r="DA203" s="1142"/>
    </row>
    <row r="204" s="1097" customFormat="1" ht="31" hidden="1" customHeight="1" spans="1:105">
      <c r="A204" s="1181">
        <v>46009</v>
      </c>
      <c r="B204" s="1182" t="s">
        <v>594</v>
      </c>
      <c r="C204" s="1183" t="s">
        <v>573</v>
      </c>
      <c r="D204" s="1097">
        <v>4500189248</v>
      </c>
      <c r="E204" s="1184" t="s">
        <v>984</v>
      </c>
      <c r="F204" s="1097" t="s">
        <v>985</v>
      </c>
      <c r="G204" s="1185" t="s">
        <v>375</v>
      </c>
      <c r="H204" s="1102" t="s">
        <v>376</v>
      </c>
      <c r="I204" s="1190">
        <v>504</v>
      </c>
      <c r="J204" s="1190">
        <v>0</v>
      </c>
      <c r="K204" s="1190">
        <v>12</v>
      </c>
      <c r="L204" s="1191">
        <f t="shared" si="52"/>
        <v>42</v>
      </c>
      <c r="M204" s="1192">
        <v>46079</v>
      </c>
      <c r="N204" s="1192">
        <v>46076</v>
      </c>
      <c r="O204" s="1184"/>
      <c r="P204" s="1193"/>
      <c r="Q204" s="1184"/>
      <c r="R204" s="1199" t="s">
        <v>986</v>
      </c>
      <c r="S204" s="1199" t="s">
        <v>987</v>
      </c>
      <c r="T204" s="1199" t="s">
        <v>597</v>
      </c>
      <c r="U204" s="1200" t="s">
        <v>988</v>
      </c>
      <c r="V204" s="1201" t="s">
        <v>589</v>
      </c>
      <c r="W204" s="1202">
        <v>2.7354</v>
      </c>
      <c r="X204" s="1203">
        <f t="shared" si="59"/>
        <v>1378.6416</v>
      </c>
      <c r="Y204" s="1184"/>
      <c r="Z204" s="285" t="s">
        <v>375</v>
      </c>
      <c r="AA204" s="1190" t="s">
        <v>53</v>
      </c>
      <c r="AB204" s="911" t="s">
        <v>54</v>
      </c>
      <c r="AC204" s="1184"/>
      <c r="AD204" s="1208">
        <v>504</v>
      </c>
      <c r="AE204" s="1130">
        <f t="shared" si="68"/>
        <v>0</v>
      </c>
      <c r="AF204" s="1209"/>
      <c r="AG204" s="1184" t="s">
        <v>55</v>
      </c>
      <c r="AH204" s="1184"/>
      <c r="AI204" s="1184">
        <f>I204*2</f>
        <v>1008</v>
      </c>
      <c r="AJ204" s="1180"/>
      <c r="AK204" s="968">
        <f>I204*2</f>
        <v>1008</v>
      </c>
      <c r="AL204" s="968"/>
      <c r="AM204" s="805">
        <f>I204*2</f>
        <v>1008</v>
      </c>
      <c r="BC204" s="1183"/>
      <c r="BD204" s="1183"/>
      <c r="BE204" s="1183"/>
      <c r="BF204" s="1183"/>
      <c r="BG204" s="1183"/>
      <c r="BH204" s="805">
        <f>I204</f>
        <v>504</v>
      </c>
      <c r="BI204" s="805">
        <f>I204</f>
        <v>504</v>
      </c>
      <c r="BJ204" s="805">
        <f>I204</f>
        <v>504</v>
      </c>
      <c r="BL204" s="1213"/>
      <c r="BM204" s="1213"/>
      <c r="BN204" s="1213"/>
      <c r="BO204" s="1213"/>
      <c r="BP204" s="1213"/>
      <c r="BQ204" s="1213"/>
      <c r="BT204" s="805">
        <f t="shared" si="73"/>
        <v>0</v>
      </c>
      <c r="BU204" s="805">
        <f t="shared" si="74"/>
        <v>0</v>
      </c>
      <c r="BV204" s="291">
        <f t="shared" si="67"/>
        <v>886747</v>
      </c>
      <c r="BW204" s="291"/>
      <c r="BX204" s="291"/>
      <c r="BY204" s="975"/>
      <c r="BZ204" s="291">
        <f t="shared" si="63"/>
        <v>413253</v>
      </c>
      <c r="CA204" s="1213"/>
      <c r="CF204" s="1218"/>
      <c r="CG204" s="1218"/>
      <c r="CH204" s="1218"/>
      <c r="CI204" s="1218"/>
      <c r="CJ204" s="1218"/>
      <c r="CK204" s="1218"/>
      <c r="CL204" s="1218"/>
      <c r="CM204" s="1218"/>
      <c r="CN204" s="1218"/>
      <c r="CO204" s="1218"/>
      <c r="CP204" s="1218"/>
      <c r="CQ204" s="1218"/>
      <c r="CR204" s="1218"/>
      <c r="CS204" s="1218"/>
      <c r="CT204" s="1218"/>
      <c r="CU204" s="1218"/>
      <c r="CV204" s="1218"/>
      <c r="CW204" s="1218"/>
      <c r="CX204" s="1218"/>
      <c r="CY204" s="1218"/>
      <c r="CZ204" s="1218"/>
      <c r="DA204" s="1218"/>
    </row>
    <row r="205" s="805" customFormat="1" ht="31" hidden="1" customHeight="1" spans="1:105">
      <c r="A205" s="1100">
        <v>46016</v>
      </c>
      <c r="B205" s="895" t="s">
        <v>199</v>
      </c>
      <c r="C205" s="1101" t="s">
        <v>84</v>
      </c>
      <c r="D205" s="805">
        <v>4500189985</v>
      </c>
      <c r="E205" s="1298" t="s">
        <v>989</v>
      </c>
      <c r="F205" s="805" t="s">
        <v>990</v>
      </c>
      <c r="G205" s="1102" t="s">
        <v>202</v>
      </c>
      <c r="H205" s="911" t="s">
        <v>203</v>
      </c>
      <c r="I205" s="911">
        <v>960</v>
      </c>
      <c r="J205" s="911">
        <v>0</v>
      </c>
      <c r="K205" s="911">
        <v>16</v>
      </c>
      <c r="L205" s="1112">
        <f t="shared" si="52"/>
        <v>60</v>
      </c>
      <c r="M205" s="932">
        <v>46079</v>
      </c>
      <c r="N205" s="932">
        <f>M205-3</f>
        <v>46076</v>
      </c>
      <c r="O205" s="1189" t="s">
        <v>991</v>
      </c>
      <c r="P205" s="1113"/>
      <c r="Q205" s="285"/>
      <c r="R205" s="1119" t="s">
        <v>968</v>
      </c>
      <c r="S205" s="1119" t="s">
        <v>58</v>
      </c>
      <c r="T205" s="1119" t="s">
        <v>969</v>
      </c>
      <c r="U205" s="946" t="s">
        <v>252</v>
      </c>
      <c r="V205" s="1120" t="s">
        <v>207</v>
      </c>
      <c r="W205" s="1121">
        <v>1.2079</v>
      </c>
      <c r="X205" s="1122">
        <f t="shared" si="59"/>
        <v>1159.584</v>
      </c>
      <c r="Y205" s="285"/>
      <c r="Z205" s="1102" t="s">
        <v>202</v>
      </c>
      <c r="AA205" s="911" t="s">
        <v>53</v>
      </c>
      <c r="AB205" s="911" t="s">
        <v>54</v>
      </c>
      <c r="AC205" s="285"/>
      <c r="AD205" s="1130">
        <v>960</v>
      </c>
      <c r="AE205" s="1130">
        <f t="shared" si="68"/>
        <v>0</v>
      </c>
      <c r="AF205" s="1131"/>
      <c r="AG205" s="285" t="s">
        <v>55</v>
      </c>
      <c r="AH205" s="285"/>
      <c r="AI205" s="285">
        <f t="shared" ref="AI205:AI211" si="75">I205</f>
        <v>960</v>
      </c>
      <c r="AJ205" s="968">
        <f>I205</f>
        <v>960</v>
      </c>
      <c r="AK205" s="968"/>
      <c r="AL205" s="968"/>
      <c r="AM205" s="805">
        <f t="shared" ref="AM205:AM211" si="76">I205</f>
        <v>960</v>
      </c>
      <c r="AW205" s="805">
        <f>I205/16</f>
        <v>60</v>
      </c>
      <c r="BC205" s="1101"/>
      <c r="BD205" s="1101"/>
      <c r="BE205" s="1101"/>
      <c r="BF205" s="1101"/>
      <c r="BG205" s="1101"/>
      <c r="BL205" s="291"/>
      <c r="BM205" s="291"/>
      <c r="BN205" s="291"/>
      <c r="BO205" s="291"/>
      <c r="BP205" s="291"/>
      <c r="BQ205" s="291"/>
      <c r="BT205" s="805">
        <f t="shared" si="73"/>
        <v>60</v>
      </c>
      <c r="BU205" s="805">
        <f t="shared" si="74"/>
        <v>0</v>
      </c>
      <c r="BV205" s="291">
        <f t="shared" si="67"/>
        <v>887707</v>
      </c>
      <c r="BW205" s="291"/>
      <c r="BX205" s="291"/>
      <c r="BY205" s="975"/>
      <c r="BZ205" s="291">
        <f t="shared" si="63"/>
        <v>412293</v>
      </c>
      <c r="CA205" s="291"/>
      <c r="CF205" s="1142"/>
      <c r="CG205" s="1142"/>
      <c r="CH205" s="1142"/>
      <c r="CI205" s="1142"/>
      <c r="CJ205" s="1142"/>
      <c r="CK205" s="1142"/>
      <c r="CL205" s="1142"/>
      <c r="CM205" s="1142"/>
      <c r="CN205" s="1142"/>
      <c r="CO205" s="1142"/>
      <c r="CP205" s="1142"/>
      <c r="CQ205" s="1142"/>
      <c r="CR205" s="1142"/>
      <c r="CS205" s="1142"/>
      <c r="CT205" s="1142"/>
      <c r="CU205" s="1142"/>
      <c r="CV205" s="1142"/>
      <c r="CW205" s="1142"/>
      <c r="CX205" s="1142"/>
      <c r="CY205" s="1142"/>
      <c r="CZ205" s="1142"/>
      <c r="DA205" s="1142"/>
    </row>
    <row r="206" s="1097" customFormat="1" ht="31" hidden="1" customHeight="1" spans="1:105">
      <c r="A206" s="1100">
        <v>46016</v>
      </c>
      <c r="B206" s="895" t="s">
        <v>199</v>
      </c>
      <c r="C206" s="1101" t="s">
        <v>84</v>
      </c>
      <c r="D206" s="805">
        <v>4500189985</v>
      </c>
      <c r="E206" s="1299" t="s">
        <v>992</v>
      </c>
      <c r="F206" s="805" t="s">
        <v>993</v>
      </c>
      <c r="G206" s="1102" t="s">
        <v>202</v>
      </c>
      <c r="H206" s="911" t="s">
        <v>203</v>
      </c>
      <c r="I206" s="911">
        <v>960</v>
      </c>
      <c r="J206" s="911">
        <v>0</v>
      </c>
      <c r="K206" s="911">
        <v>16</v>
      </c>
      <c r="L206" s="1112">
        <f t="shared" si="52"/>
        <v>60</v>
      </c>
      <c r="M206" s="932">
        <v>46079</v>
      </c>
      <c r="N206" s="932">
        <f>M206-3</f>
        <v>46076</v>
      </c>
      <c r="O206" s="1189" t="s">
        <v>991</v>
      </c>
      <c r="P206" s="1193"/>
      <c r="Q206" s="1184"/>
      <c r="R206" s="1119" t="s">
        <v>968</v>
      </c>
      <c r="S206" s="1119" t="s">
        <v>58</v>
      </c>
      <c r="T206" s="1119" t="s">
        <v>969</v>
      </c>
      <c r="U206" s="946" t="s">
        <v>252</v>
      </c>
      <c r="V206" s="1120" t="s">
        <v>207</v>
      </c>
      <c r="W206" s="1121">
        <v>1.2079</v>
      </c>
      <c r="X206" s="1122">
        <f t="shared" si="59"/>
        <v>1159.584</v>
      </c>
      <c r="Y206" s="1184"/>
      <c r="Z206" s="1102" t="s">
        <v>202</v>
      </c>
      <c r="AA206" s="911" t="s">
        <v>53</v>
      </c>
      <c r="AB206" s="911" t="s">
        <v>54</v>
      </c>
      <c r="AC206" s="1184"/>
      <c r="AD206" s="1130">
        <v>960</v>
      </c>
      <c r="AE206" s="1130">
        <f t="shared" si="68"/>
        <v>0</v>
      </c>
      <c r="AF206" s="1209"/>
      <c r="AG206" s="285" t="s">
        <v>55</v>
      </c>
      <c r="AH206" s="1184"/>
      <c r="AI206" s="285">
        <f t="shared" si="75"/>
        <v>960</v>
      </c>
      <c r="AJ206" s="968">
        <f>I206</f>
        <v>960</v>
      </c>
      <c r="AK206" s="968"/>
      <c r="AL206" s="968"/>
      <c r="AM206" s="805">
        <f t="shared" si="76"/>
        <v>960</v>
      </c>
      <c r="AW206" s="805">
        <f>I206/16</f>
        <v>60</v>
      </c>
      <c r="BC206" s="1183"/>
      <c r="BD206" s="1183"/>
      <c r="BE206" s="1183"/>
      <c r="BF206" s="1183"/>
      <c r="BG206" s="1183"/>
      <c r="BH206" s="805"/>
      <c r="BI206" s="805"/>
      <c r="BJ206" s="805"/>
      <c r="BL206" s="1213"/>
      <c r="BM206" s="1213"/>
      <c r="BN206" s="1213"/>
      <c r="BO206" s="1213"/>
      <c r="BP206" s="1213"/>
      <c r="BQ206" s="1213"/>
      <c r="BT206" s="805">
        <f t="shared" si="73"/>
        <v>60</v>
      </c>
      <c r="BU206" s="805">
        <f t="shared" si="74"/>
        <v>0</v>
      </c>
      <c r="BV206" s="291">
        <f t="shared" si="67"/>
        <v>888667</v>
      </c>
      <c r="BW206" s="291"/>
      <c r="BX206" s="291"/>
      <c r="BY206" s="975"/>
      <c r="BZ206" s="291">
        <f t="shared" si="63"/>
        <v>411333</v>
      </c>
      <c r="CA206" s="1213"/>
      <c r="CF206" s="1218"/>
      <c r="CG206" s="1218"/>
      <c r="CH206" s="1218"/>
      <c r="CI206" s="1218"/>
      <c r="CJ206" s="1218"/>
      <c r="CK206" s="1218"/>
      <c r="CL206" s="1218"/>
      <c r="CM206" s="1218"/>
      <c r="CN206" s="1218"/>
      <c r="CO206" s="1218"/>
      <c r="CP206" s="1218"/>
      <c r="CQ206" s="1218"/>
      <c r="CR206" s="1218"/>
      <c r="CS206" s="1218"/>
      <c r="CT206" s="1218"/>
      <c r="CU206" s="1218"/>
      <c r="CV206" s="1218"/>
      <c r="CW206" s="1218"/>
      <c r="CX206" s="1218"/>
      <c r="CY206" s="1218"/>
      <c r="CZ206" s="1218"/>
      <c r="DA206" s="1218"/>
    </row>
    <row r="207" s="805" customFormat="1" ht="31" hidden="1" customHeight="1" spans="1:105">
      <c r="A207" s="1100">
        <v>46003</v>
      </c>
      <c r="B207" s="895" t="s">
        <v>148</v>
      </c>
      <c r="C207" s="911" t="s">
        <v>149</v>
      </c>
      <c r="D207" s="895">
        <v>4500188871</v>
      </c>
      <c r="E207" s="285">
        <v>21336517</v>
      </c>
      <c r="F207" s="895" t="s">
        <v>994</v>
      </c>
      <c r="G207" s="1102" t="s">
        <v>151</v>
      </c>
      <c r="H207" s="911" t="s">
        <v>152</v>
      </c>
      <c r="I207" s="911">
        <v>1508</v>
      </c>
      <c r="J207" s="911">
        <v>0</v>
      </c>
      <c r="K207" s="911">
        <v>13</v>
      </c>
      <c r="L207" s="1112">
        <f t="shared" si="52"/>
        <v>116</v>
      </c>
      <c r="M207" s="1000">
        <v>46083</v>
      </c>
      <c r="N207" s="1000">
        <f>M207-4</f>
        <v>46079</v>
      </c>
      <c r="O207" s="285"/>
      <c r="P207" s="1113"/>
      <c r="Q207" s="285"/>
      <c r="R207" s="1119">
        <v>46017</v>
      </c>
      <c r="S207" s="1119" t="s">
        <v>265</v>
      </c>
      <c r="T207" s="1119" t="s">
        <v>995</v>
      </c>
      <c r="U207" s="946" t="s">
        <v>996</v>
      </c>
      <c r="V207" s="1120" t="s">
        <v>997</v>
      </c>
      <c r="W207" s="1121">
        <v>1.8728</v>
      </c>
      <c r="X207" s="1122">
        <f t="shared" si="59"/>
        <v>2824.1824</v>
      </c>
      <c r="Y207" s="285"/>
      <c r="Z207" s="1102" t="s">
        <v>151</v>
      </c>
      <c r="AA207" s="911" t="s">
        <v>53</v>
      </c>
      <c r="AB207" s="911" t="s">
        <v>54</v>
      </c>
      <c r="AC207" s="285"/>
      <c r="AD207" s="1130">
        <v>1508</v>
      </c>
      <c r="AE207" s="1130">
        <f t="shared" si="68"/>
        <v>0</v>
      </c>
      <c r="AF207" s="1131"/>
      <c r="AG207" s="285" t="s">
        <v>55</v>
      </c>
      <c r="AH207" s="285"/>
      <c r="AI207" s="285">
        <f t="shared" si="75"/>
        <v>1508</v>
      </c>
      <c r="AJ207" s="968">
        <f>I207</f>
        <v>1508</v>
      </c>
      <c r="AL207" s="968"/>
      <c r="AM207" s="805">
        <f t="shared" si="76"/>
        <v>1508</v>
      </c>
      <c r="AP207" s="805">
        <f>I207/13</f>
        <v>116</v>
      </c>
      <c r="BC207" s="1101"/>
      <c r="BD207" s="1101"/>
      <c r="BE207" s="1101"/>
      <c r="BF207" s="1101"/>
      <c r="BG207" s="1101"/>
      <c r="BL207" s="291"/>
      <c r="BM207" s="291"/>
      <c r="BN207" s="291"/>
      <c r="BO207" s="291"/>
      <c r="BP207" s="291"/>
      <c r="BQ207" s="291"/>
      <c r="BT207" s="805">
        <f t="shared" si="73"/>
        <v>0</v>
      </c>
      <c r="BU207" s="805">
        <f t="shared" si="74"/>
        <v>0</v>
      </c>
      <c r="BV207" s="291">
        <f t="shared" si="67"/>
        <v>890175</v>
      </c>
      <c r="BW207" s="291"/>
      <c r="BX207" s="291"/>
      <c r="BY207" s="291"/>
      <c r="BZ207" s="291">
        <f t="shared" si="63"/>
        <v>409825</v>
      </c>
      <c r="CA207" s="291"/>
      <c r="CF207" s="1142"/>
      <c r="CG207" s="1142"/>
      <c r="CH207" s="1142"/>
      <c r="CI207" s="1142"/>
      <c r="CJ207" s="1142"/>
      <c r="CK207" s="1142"/>
      <c r="CL207" s="1142"/>
      <c r="CM207" s="1142"/>
      <c r="CN207" s="1142"/>
      <c r="CO207" s="1142"/>
      <c r="CP207" s="1142"/>
      <c r="CQ207" s="1142"/>
      <c r="CR207" s="1142"/>
      <c r="CS207" s="1142"/>
      <c r="CT207" s="1142"/>
      <c r="CU207" s="1142"/>
      <c r="CV207" s="1142"/>
      <c r="CW207" s="1142"/>
      <c r="CX207" s="1142"/>
      <c r="CY207" s="1142"/>
      <c r="CZ207" s="1142"/>
      <c r="DA207" s="1142"/>
    </row>
    <row r="208" s="805" customFormat="1" ht="31" hidden="1" customHeight="1" spans="1:105">
      <c r="A208" s="1100">
        <v>45980</v>
      </c>
      <c r="B208" s="895" t="s">
        <v>998</v>
      </c>
      <c r="C208" s="1101" t="s">
        <v>41</v>
      </c>
      <c r="D208" s="895">
        <v>4500186204</v>
      </c>
      <c r="E208" s="285"/>
      <c r="F208" s="946" t="s">
        <v>999</v>
      </c>
      <c r="G208" s="1102" t="s">
        <v>136</v>
      </c>
      <c r="H208" s="911" t="s">
        <v>137</v>
      </c>
      <c r="I208" s="911">
        <v>1250</v>
      </c>
      <c r="J208" s="911">
        <v>0</v>
      </c>
      <c r="K208" s="911">
        <v>50</v>
      </c>
      <c r="L208" s="1112">
        <f t="shared" si="52"/>
        <v>25</v>
      </c>
      <c r="M208" s="1000">
        <v>46083</v>
      </c>
      <c r="N208" s="1000">
        <f>M208-4</f>
        <v>46079</v>
      </c>
      <c r="O208" s="236"/>
      <c r="P208" s="1113"/>
      <c r="Q208" s="285"/>
      <c r="R208" s="1119" t="s">
        <v>49</v>
      </c>
      <c r="S208" s="945" t="s">
        <v>58</v>
      </c>
      <c r="T208" s="1119" t="s">
        <v>1000</v>
      </c>
      <c r="U208" s="946" t="s">
        <v>1001</v>
      </c>
      <c r="V208" s="1120" t="s">
        <v>938</v>
      </c>
      <c r="W208" s="1121">
        <v>1.9154</v>
      </c>
      <c r="X208" s="1122">
        <f t="shared" si="59"/>
        <v>2394.25</v>
      </c>
      <c r="Y208" s="285"/>
      <c r="Z208" s="1102" t="s">
        <v>355</v>
      </c>
      <c r="AA208" s="911" t="s">
        <v>53</v>
      </c>
      <c r="AB208" s="911" t="s">
        <v>54</v>
      </c>
      <c r="AC208" s="285"/>
      <c r="AD208" s="1130">
        <v>1250</v>
      </c>
      <c r="AE208" s="1130">
        <f t="shared" si="68"/>
        <v>0</v>
      </c>
      <c r="AF208" s="1131"/>
      <c r="AG208" s="285" t="s">
        <v>55</v>
      </c>
      <c r="AH208" s="285"/>
      <c r="AI208" s="285">
        <f t="shared" si="75"/>
        <v>1250</v>
      </c>
      <c r="AJ208" s="968"/>
      <c r="AL208" s="968">
        <f>I208</f>
        <v>1250</v>
      </c>
      <c r="AM208" s="968">
        <f t="shared" si="76"/>
        <v>1250</v>
      </c>
      <c r="AO208" s="968"/>
      <c r="AS208" s="805">
        <f>L208*2</f>
        <v>50</v>
      </c>
      <c r="BC208" s="1101"/>
      <c r="BD208" s="1101"/>
      <c r="BE208" s="1101"/>
      <c r="BF208" s="1101"/>
      <c r="BG208" s="1101"/>
      <c r="BL208" s="291"/>
      <c r="BM208" s="291"/>
      <c r="BN208" s="291"/>
      <c r="BO208" s="291"/>
      <c r="BP208" s="291"/>
      <c r="BQ208" s="291"/>
      <c r="BT208" s="805">
        <f t="shared" si="73"/>
        <v>50</v>
      </c>
      <c r="BU208" s="805">
        <f t="shared" si="74"/>
        <v>0</v>
      </c>
      <c r="BV208" s="291">
        <f t="shared" si="67"/>
        <v>891425</v>
      </c>
      <c r="BW208" s="291"/>
      <c r="BX208" s="291"/>
      <c r="BY208" s="975"/>
      <c r="BZ208" s="291">
        <f t="shared" si="63"/>
        <v>408575</v>
      </c>
      <c r="CA208" s="291"/>
      <c r="CF208" s="1142"/>
      <c r="CG208" s="1142"/>
      <c r="CH208" s="1142"/>
      <c r="CI208" s="1142"/>
      <c r="CJ208" s="1142"/>
      <c r="CK208" s="1142"/>
      <c r="CL208" s="1142"/>
      <c r="CM208" s="1142"/>
      <c r="CN208" s="1142"/>
      <c r="CO208" s="1142"/>
      <c r="CP208" s="1142"/>
      <c r="CQ208" s="1142"/>
      <c r="CR208" s="1142"/>
      <c r="CS208" s="1142"/>
      <c r="CT208" s="1142"/>
      <c r="CU208" s="1142"/>
      <c r="CV208" s="1142"/>
      <c r="CW208" s="1142"/>
      <c r="CX208" s="1142"/>
      <c r="CY208" s="1142"/>
      <c r="CZ208" s="1142"/>
      <c r="DA208" s="1142"/>
    </row>
    <row r="209" s="805" customFormat="1" ht="31" hidden="1" customHeight="1" spans="1:105">
      <c r="A209" s="1100">
        <v>46016</v>
      </c>
      <c r="B209" s="895" t="s">
        <v>199</v>
      </c>
      <c r="C209" s="1101" t="s">
        <v>84</v>
      </c>
      <c r="D209" s="805">
        <v>4500190002</v>
      </c>
      <c r="E209" s="1298" t="s">
        <v>1002</v>
      </c>
      <c r="F209" s="805" t="s">
        <v>1003</v>
      </c>
      <c r="G209" s="1102" t="s">
        <v>202</v>
      </c>
      <c r="H209" s="911" t="s">
        <v>203</v>
      </c>
      <c r="I209" s="911">
        <v>960</v>
      </c>
      <c r="J209" s="911">
        <v>0</v>
      </c>
      <c r="K209" s="911">
        <v>16</v>
      </c>
      <c r="L209" s="1112">
        <f t="shared" si="52"/>
        <v>60</v>
      </c>
      <c r="M209" s="1000">
        <v>46086</v>
      </c>
      <c r="N209" s="1000">
        <v>46083</v>
      </c>
      <c r="O209" s="1189" t="s">
        <v>1004</v>
      </c>
      <c r="P209" s="1113"/>
      <c r="Q209" s="285"/>
      <c r="R209" s="1119" t="s">
        <v>968</v>
      </c>
      <c r="S209" s="1119" t="s">
        <v>58</v>
      </c>
      <c r="T209" s="1119" t="s">
        <v>969</v>
      </c>
      <c r="U209" s="946" t="s">
        <v>421</v>
      </c>
      <c r="V209" s="1120" t="s">
        <v>207</v>
      </c>
      <c r="W209" s="1121">
        <v>1.2079</v>
      </c>
      <c r="X209" s="1122">
        <f t="shared" si="59"/>
        <v>1159.584</v>
      </c>
      <c r="Y209" s="285"/>
      <c r="Z209" s="1102" t="s">
        <v>202</v>
      </c>
      <c r="AA209" s="911" t="s">
        <v>53</v>
      </c>
      <c r="AB209" s="911" t="s">
        <v>54</v>
      </c>
      <c r="AC209" s="285"/>
      <c r="AD209" s="1130">
        <v>960</v>
      </c>
      <c r="AE209" s="1130">
        <f t="shared" si="68"/>
        <v>0</v>
      </c>
      <c r="AF209" s="1131"/>
      <c r="AG209" s="285" t="s">
        <v>55</v>
      </c>
      <c r="AH209" s="285"/>
      <c r="AI209" s="285">
        <f t="shared" si="75"/>
        <v>960</v>
      </c>
      <c r="AJ209" s="968">
        <f>I209</f>
        <v>960</v>
      </c>
      <c r="AK209" s="968"/>
      <c r="AL209" s="968"/>
      <c r="AM209" s="805">
        <f t="shared" si="76"/>
        <v>960</v>
      </c>
      <c r="AW209" s="805">
        <f>I209/16</f>
        <v>60</v>
      </c>
      <c r="BC209" s="1101"/>
      <c r="BD209" s="1101"/>
      <c r="BE209" s="1101"/>
      <c r="BF209" s="1101"/>
      <c r="BG209" s="1101"/>
      <c r="BL209" s="291"/>
      <c r="BM209" s="291"/>
      <c r="BN209" s="291"/>
      <c r="BO209" s="291"/>
      <c r="BP209" s="291"/>
      <c r="BQ209" s="291"/>
      <c r="BT209" s="805">
        <f t="shared" si="73"/>
        <v>60</v>
      </c>
      <c r="BU209" s="805">
        <f t="shared" si="74"/>
        <v>0</v>
      </c>
      <c r="BV209" s="291">
        <f t="shared" si="67"/>
        <v>892385</v>
      </c>
      <c r="BW209" s="291"/>
      <c r="BX209" s="291"/>
      <c r="BY209" s="975"/>
      <c r="BZ209" s="291">
        <f t="shared" si="63"/>
        <v>407615</v>
      </c>
      <c r="CA209" s="291"/>
      <c r="CF209" s="1142"/>
      <c r="CG209" s="1142"/>
      <c r="CH209" s="1142"/>
      <c r="CI209" s="1142"/>
      <c r="CJ209" s="1142"/>
      <c r="CK209" s="1142"/>
      <c r="CL209" s="1142"/>
      <c r="CM209" s="1142"/>
      <c r="CN209" s="1142"/>
      <c r="CO209" s="1142"/>
      <c r="CP209" s="1142"/>
      <c r="CQ209" s="1142"/>
      <c r="CR209" s="1142"/>
      <c r="CS209" s="1142"/>
      <c r="CT209" s="1142"/>
      <c r="CU209" s="1142"/>
      <c r="CV209" s="1142"/>
      <c r="CW209" s="1142"/>
      <c r="CX209" s="1142"/>
      <c r="CY209" s="1142"/>
      <c r="CZ209" s="1142"/>
      <c r="DA209" s="1142"/>
    </row>
    <row r="210" s="805" customFormat="1" ht="31" hidden="1" customHeight="1" spans="1:105">
      <c r="A210" s="1100">
        <v>46016</v>
      </c>
      <c r="B210" s="895" t="s">
        <v>199</v>
      </c>
      <c r="C210" s="1101" t="s">
        <v>84</v>
      </c>
      <c r="D210" s="805">
        <v>4500190002</v>
      </c>
      <c r="E210" s="1298" t="s">
        <v>1005</v>
      </c>
      <c r="F210" s="805" t="s">
        <v>1006</v>
      </c>
      <c r="G210" s="1102" t="s">
        <v>202</v>
      </c>
      <c r="H210" s="911" t="s">
        <v>203</v>
      </c>
      <c r="I210" s="911">
        <v>960</v>
      </c>
      <c r="J210" s="911">
        <v>0</v>
      </c>
      <c r="K210" s="911">
        <v>16</v>
      </c>
      <c r="L210" s="1112">
        <f t="shared" si="52"/>
        <v>60</v>
      </c>
      <c r="M210" s="1000">
        <v>46086</v>
      </c>
      <c r="N210" s="1000">
        <v>46083</v>
      </c>
      <c r="O210" s="1189" t="s">
        <v>1004</v>
      </c>
      <c r="P210" s="1113"/>
      <c r="Q210" s="285"/>
      <c r="R210" s="1119" t="s">
        <v>968</v>
      </c>
      <c r="S210" s="1119" t="s">
        <v>58</v>
      </c>
      <c r="T210" s="1119" t="s">
        <v>969</v>
      </c>
      <c r="U210" s="946" t="s">
        <v>421</v>
      </c>
      <c r="V210" s="1120" t="s">
        <v>207</v>
      </c>
      <c r="W210" s="1121">
        <v>1.2079</v>
      </c>
      <c r="X210" s="1122">
        <f t="shared" si="59"/>
        <v>1159.584</v>
      </c>
      <c r="Y210" s="285"/>
      <c r="Z210" s="1102" t="s">
        <v>202</v>
      </c>
      <c r="AA210" s="911" t="s">
        <v>53</v>
      </c>
      <c r="AB210" s="911" t="s">
        <v>54</v>
      </c>
      <c r="AC210" s="285"/>
      <c r="AD210" s="1130">
        <v>960</v>
      </c>
      <c r="AE210" s="1130">
        <f t="shared" si="68"/>
        <v>0</v>
      </c>
      <c r="AF210" s="1131"/>
      <c r="AG210" s="285" t="s">
        <v>55</v>
      </c>
      <c r="AH210" s="285"/>
      <c r="AI210" s="285">
        <f t="shared" si="75"/>
        <v>960</v>
      </c>
      <c r="AJ210" s="968">
        <f>I210</f>
        <v>960</v>
      </c>
      <c r="AK210" s="968"/>
      <c r="AL210" s="968"/>
      <c r="AM210" s="805">
        <f t="shared" si="76"/>
        <v>960</v>
      </c>
      <c r="AW210" s="805">
        <f>I210/16</f>
        <v>60</v>
      </c>
      <c r="BC210" s="1101"/>
      <c r="BD210" s="1101"/>
      <c r="BE210" s="1101"/>
      <c r="BF210" s="1101"/>
      <c r="BG210" s="1101"/>
      <c r="BL210" s="291"/>
      <c r="BM210" s="291"/>
      <c r="BN210" s="291"/>
      <c r="BO210" s="291"/>
      <c r="BP210" s="291"/>
      <c r="BQ210" s="291"/>
      <c r="BT210" s="805">
        <f t="shared" si="73"/>
        <v>60</v>
      </c>
      <c r="BU210" s="805">
        <f t="shared" si="74"/>
        <v>0</v>
      </c>
      <c r="BV210" s="291">
        <f t="shared" si="67"/>
        <v>893345</v>
      </c>
      <c r="BW210" s="291"/>
      <c r="BX210" s="291"/>
      <c r="BY210" s="975"/>
      <c r="BZ210" s="291">
        <f t="shared" si="63"/>
        <v>406655</v>
      </c>
      <c r="CA210" s="291"/>
      <c r="CF210" s="1142"/>
      <c r="CG210" s="1142"/>
      <c r="CH210" s="1142"/>
      <c r="CI210" s="1142"/>
      <c r="CJ210" s="1142"/>
      <c r="CK210" s="1142"/>
      <c r="CL210" s="1142"/>
      <c r="CM210" s="1142"/>
      <c r="CN210" s="1142"/>
      <c r="CO210" s="1142"/>
      <c r="CP210" s="1142"/>
      <c r="CQ210" s="1142"/>
      <c r="CR210" s="1142"/>
      <c r="CS210" s="1142"/>
      <c r="CT210" s="1142"/>
      <c r="CU210" s="1142"/>
      <c r="CV210" s="1142"/>
      <c r="CW210" s="1142"/>
      <c r="CX210" s="1142"/>
      <c r="CY210" s="1142"/>
      <c r="CZ210" s="1142"/>
      <c r="DA210" s="1142"/>
    </row>
    <row r="211" s="805" customFormat="1" ht="31" hidden="1" customHeight="1" spans="1:105">
      <c r="A211" s="1100">
        <v>46016</v>
      </c>
      <c r="B211" s="895" t="s">
        <v>199</v>
      </c>
      <c r="C211" s="1101" t="s">
        <v>84</v>
      </c>
      <c r="D211" s="805">
        <v>4500190002</v>
      </c>
      <c r="E211" s="1298" t="s">
        <v>1007</v>
      </c>
      <c r="F211" s="805" t="s">
        <v>1008</v>
      </c>
      <c r="G211" s="1102" t="s">
        <v>202</v>
      </c>
      <c r="H211" s="911" t="s">
        <v>203</v>
      </c>
      <c r="I211" s="911">
        <v>960</v>
      </c>
      <c r="J211" s="911">
        <v>0</v>
      </c>
      <c r="K211" s="911">
        <v>16</v>
      </c>
      <c r="L211" s="1112">
        <f t="shared" si="52"/>
        <v>60</v>
      </c>
      <c r="M211" s="1000">
        <v>46086</v>
      </c>
      <c r="N211" s="1000">
        <v>46083</v>
      </c>
      <c r="O211" s="1189" t="s">
        <v>1004</v>
      </c>
      <c r="P211" s="1113"/>
      <c r="Q211" s="285"/>
      <c r="R211" s="1119" t="s">
        <v>968</v>
      </c>
      <c r="S211" s="1119" t="s">
        <v>58</v>
      </c>
      <c r="T211" s="1119" t="s">
        <v>969</v>
      </c>
      <c r="U211" s="946" t="s">
        <v>421</v>
      </c>
      <c r="V211" s="1120" t="s">
        <v>207</v>
      </c>
      <c r="W211" s="1121">
        <v>1.2079</v>
      </c>
      <c r="X211" s="1122">
        <f t="shared" si="59"/>
        <v>1159.584</v>
      </c>
      <c r="Y211" s="285"/>
      <c r="Z211" s="1102" t="s">
        <v>202</v>
      </c>
      <c r="AA211" s="911" t="s">
        <v>53</v>
      </c>
      <c r="AB211" s="911" t="s">
        <v>54</v>
      </c>
      <c r="AC211" s="285"/>
      <c r="AD211" s="1130">
        <v>960</v>
      </c>
      <c r="AE211" s="1130">
        <f t="shared" si="68"/>
        <v>0</v>
      </c>
      <c r="AF211" s="1131"/>
      <c r="AG211" s="285" t="s">
        <v>55</v>
      </c>
      <c r="AH211" s="285"/>
      <c r="AI211" s="285">
        <f t="shared" si="75"/>
        <v>960</v>
      </c>
      <c r="AJ211" s="968">
        <f>I211</f>
        <v>960</v>
      </c>
      <c r="AK211" s="968"/>
      <c r="AL211" s="968"/>
      <c r="AM211" s="805">
        <f t="shared" si="76"/>
        <v>960</v>
      </c>
      <c r="AW211" s="805">
        <f>I211/16</f>
        <v>60</v>
      </c>
      <c r="BC211" s="1101"/>
      <c r="BD211" s="1101"/>
      <c r="BE211" s="1101"/>
      <c r="BF211" s="1101"/>
      <c r="BG211" s="1101"/>
      <c r="BL211" s="291"/>
      <c r="BM211" s="291"/>
      <c r="BN211" s="291"/>
      <c r="BO211" s="291"/>
      <c r="BP211" s="291"/>
      <c r="BQ211" s="291"/>
      <c r="BT211" s="805">
        <f t="shared" si="73"/>
        <v>60</v>
      </c>
      <c r="BU211" s="805">
        <f t="shared" si="74"/>
        <v>0</v>
      </c>
      <c r="BV211" s="291">
        <f t="shared" si="67"/>
        <v>894305</v>
      </c>
      <c r="BW211" s="291"/>
      <c r="BX211" s="291"/>
      <c r="BY211" s="975"/>
      <c r="BZ211" s="291">
        <f t="shared" si="63"/>
        <v>405695</v>
      </c>
      <c r="CA211" s="291"/>
      <c r="CF211" s="1142"/>
      <c r="CG211" s="1142"/>
      <c r="CH211" s="1142"/>
      <c r="CI211" s="1142"/>
      <c r="CJ211" s="1142"/>
      <c r="CK211" s="1142"/>
      <c r="CL211" s="1142"/>
      <c r="CM211" s="1142"/>
      <c r="CN211" s="1142"/>
      <c r="CO211" s="1142"/>
      <c r="CP211" s="1142"/>
      <c r="CQ211" s="1142"/>
      <c r="CR211" s="1142"/>
      <c r="CS211" s="1142"/>
      <c r="CT211" s="1142"/>
      <c r="CU211" s="1142"/>
      <c r="CV211" s="1142"/>
      <c r="CW211" s="1142"/>
      <c r="CX211" s="1142"/>
      <c r="CY211" s="1142"/>
      <c r="CZ211" s="1142"/>
      <c r="DA211" s="1142"/>
    </row>
    <row r="212" s="807" customFormat="1" ht="31" hidden="1" customHeight="1" spans="1:105">
      <c r="A212" s="1100">
        <v>46034</v>
      </c>
      <c r="B212" s="895" t="s">
        <v>83</v>
      </c>
      <c r="C212" s="1101" t="s">
        <v>84</v>
      </c>
      <c r="D212" s="805">
        <v>4500191164</v>
      </c>
      <c r="E212" s="285">
        <v>5200008683</v>
      </c>
      <c r="F212" s="805" t="s">
        <v>1009</v>
      </c>
      <c r="G212" s="1102" t="s">
        <v>1010</v>
      </c>
      <c r="H212" s="911" t="s">
        <v>376</v>
      </c>
      <c r="I212" s="1194">
        <v>6000</v>
      </c>
      <c r="J212" s="911">
        <v>0</v>
      </c>
      <c r="K212" s="911">
        <v>12</v>
      </c>
      <c r="L212" s="1112">
        <f t="shared" si="52"/>
        <v>500</v>
      </c>
      <c r="M212" s="932">
        <v>46090</v>
      </c>
      <c r="N212" s="932">
        <v>46086</v>
      </c>
      <c r="O212" s="285"/>
      <c r="P212" s="1113"/>
      <c r="Q212" s="285"/>
      <c r="R212" s="1119">
        <v>46034</v>
      </c>
      <c r="S212" s="1119" t="s">
        <v>58</v>
      </c>
      <c r="T212" s="1119" t="s">
        <v>1011</v>
      </c>
      <c r="U212" s="946" t="s">
        <v>1012</v>
      </c>
      <c r="V212" s="1120" t="s">
        <v>1013</v>
      </c>
      <c r="W212" s="1121">
        <v>1.6054</v>
      </c>
      <c r="X212" s="1122">
        <f t="shared" si="59"/>
        <v>9632.4</v>
      </c>
      <c r="Y212" s="285"/>
      <c r="Z212" s="1102" t="s">
        <v>1010</v>
      </c>
      <c r="AA212" s="911" t="s">
        <v>53</v>
      </c>
      <c r="AB212" s="911" t="s">
        <v>54</v>
      </c>
      <c r="AC212" s="285"/>
      <c r="AD212" s="1130">
        <v>6000</v>
      </c>
      <c r="AE212" s="1130">
        <f t="shared" si="68"/>
        <v>0</v>
      </c>
      <c r="AF212" s="1131"/>
      <c r="AG212" s="285" t="s">
        <v>55</v>
      </c>
      <c r="AH212" s="285"/>
      <c r="AI212" s="1184">
        <f>I212*2</f>
        <v>12000</v>
      </c>
      <c r="AJ212" s="968">
        <f>I212*2</f>
        <v>12000</v>
      </c>
      <c r="AK212" s="968"/>
      <c r="AL212" s="968"/>
      <c r="AM212" s="805">
        <f>I212*2</f>
        <v>12000</v>
      </c>
      <c r="AN212" s="805"/>
      <c r="AO212" s="805"/>
      <c r="AP212" s="805"/>
      <c r="AQ212" s="805"/>
      <c r="AR212" s="805"/>
      <c r="AS212" s="805"/>
      <c r="AT212" s="805"/>
      <c r="AU212" s="805"/>
      <c r="AV212" s="805"/>
      <c r="AW212" s="805"/>
      <c r="AX212" s="805"/>
      <c r="AY212" s="805"/>
      <c r="AZ212" s="805"/>
      <c r="BA212" s="805"/>
      <c r="BB212" s="805"/>
      <c r="BC212" s="1101"/>
      <c r="BD212" s="1101"/>
      <c r="BE212" s="1101"/>
      <c r="BF212" s="1101"/>
      <c r="BG212" s="1101"/>
      <c r="BH212" s="805">
        <f>I212</f>
        <v>6000</v>
      </c>
      <c r="BI212" s="805">
        <f>I212</f>
        <v>6000</v>
      </c>
      <c r="BJ212" s="805">
        <f>I212</f>
        <v>6000</v>
      </c>
      <c r="BL212" s="1214"/>
      <c r="BM212" s="1214"/>
      <c r="BN212" s="1214"/>
      <c r="BO212" s="1214"/>
      <c r="BP212" s="1214"/>
      <c r="BQ212" s="1214"/>
      <c r="BT212" s="807">
        <f t="shared" si="73"/>
        <v>0</v>
      </c>
      <c r="BU212" s="807">
        <f t="shared" si="74"/>
        <v>0</v>
      </c>
      <c r="BV212" s="291">
        <f t="shared" si="67"/>
        <v>906305</v>
      </c>
      <c r="BW212" s="1214"/>
      <c r="BX212" s="1214"/>
      <c r="BY212" s="1216"/>
      <c r="BZ212" s="291">
        <f t="shared" si="63"/>
        <v>393695</v>
      </c>
      <c r="CA212" s="1214"/>
      <c r="CF212" s="1219"/>
      <c r="CG212" s="1219"/>
      <c r="CH212" s="1219"/>
      <c r="CI212" s="1219"/>
      <c r="CJ212" s="1219"/>
      <c r="CK212" s="1219"/>
      <c r="CL212" s="1219"/>
      <c r="CM212" s="1219"/>
      <c r="CN212" s="1219"/>
      <c r="CO212" s="1219"/>
      <c r="CP212" s="1219"/>
      <c r="CQ212" s="1219"/>
      <c r="CR212" s="1219"/>
      <c r="CS212" s="1219"/>
      <c r="CT212" s="1219"/>
      <c r="CU212" s="1219"/>
      <c r="CV212" s="1219"/>
      <c r="CW212" s="1219"/>
      <c r="CX212" s="1219"/>
      <c r="CY212" s="1219"/>
      <c r="CZ212" s="1219"/>
      <c r="DA212" s="1219"/>
    </row>
    <row r="213" s="1098" customFormat="1" ht="31" hidden="1" customHeight="1" spans="1:105">
      <c r="A213" s="1181">
        <v>46038</v>
      </c>
      <c r="B213" s="1182" t="s">
        <v>372</v>
      </c>
      <c r="C213" s="1183" t="s">
        <v>84</v>
      </c>
      <c r="D213" s="1097">
        <v>4500191631</v>
      </c>
      <c r="E213" s="1184" t="s">
        <v>1014</v>
      </c>
      <c r="F213" s="1097" t="s">
        <v>1015</v>
      </c>
      <c r="G213" s="1185" t="s">
        <v>375</v>
      </c>
      <c r="H213" s="1102" t="s">
        <v>376</v>
      </c>
      <c r="I213" s="1190">
        <v>4404</v>
      </c>
      <c r="J213" s="1190">
        <v>0</v>
      </c>
      <c r="K213" s="1190">
        <v>12</v>
      </c>
      <c r="L213" s="1191">
        <f t="shared" si="52"/>
        <v>367</v>
      </c>
      <c r="M213" s="1192">
        <v>46090</v>
      </c>
      <c r="N213" s="1192">
        <v>46086</v>
      </c>
      <c r="O213" s="1184"/>
      <c r="P213" s="1193"/>
      <c r="Q213" s="1184"/>
      <c r="R213" s="1199">
        <v>46038</v>
      </c>
      <c r="S213" s="1199" t="s">
        <v>48</v>
      </c>
      <c r="T213" s="1199" t="s">
        <v>1016</v>
      </c>
      <c r="U213" s="1200" t="s">
        <v>1017</v>
      </c>
      <c r="V213" s="1201" t="s">
        <v>89</v>
      </c>
      <c r="W213" s="1202">
        <v>1.6343</v>
      </c>
      <c r="X213" s="1203">
        <f t="shared" si="59"/>
        <v>7197.4572</v>
      </c>
      <c r="Y213" s="1184"/>
      <c r="Z213" s="285" t="s">
        <v>375</v>
      </c>
      <c r="AA213" s="911" t="s">
        <v>53</v>
      </c>
      <c r="AB213" s="911" t="s">
        <v>54</v>
      </c>
      <c r="AC213" s="1184"/>
      <c r="AD213" s="1208">
        <v>4404</v>
      </c>
      <c r="AE213" s="1130">
        <f t="shared" si="68"/>
        <v>0</v>
      </c>
      <c r="AF213" s="1209"/>
      <c r="AG213" s="1184" t="s">
        <v>55</v>
      </c>
      <c r="AH213" s="1184"/>
      <c r="AI213" s="1184">
        <f>I213*2</f>
        <v>8808</v>
      </c>
      <c r="AJ213" s="968">
        <f>I213*2</f>
        <v>8808</v>
      </c>
      <c r="AK213" s="968"/>
      <c r="AL213" s="968"/>
      <c r="AM213" s="805">
        <f>I213*2</f>
        <v>8808</v>
      </c>
      <c r="AN213" s="1097"/>
      <c r="AO213" s="1097"/>
      <c r="AP213" s="1097"/>
      <c r="AQ213" s="1097"/>
      <c r="AR213" s="1097"/>
      <c r="AS213" s="1097"/>
      <c r="AT213" s="1097"/>
      <c r="AU213" s="1097"/>
      <c r="AV213" s="1097"/>
      <c r="AW213" s="1097"/>
      <c r="AX213" s="1097"/>
      <c r="AY213" s="1097"/>
      <c r="AZ213" s="1097"/>
      <c r="BA213" s="1097"/>
      <c r="BB213" s="1097"/>
      <c r="BC213" s="1183"/>
      <c r="BD213" s="1183"/>
      <c r="BE213" s="1183"/>
      <c r="BF213" s="1183"/>
      <c r="BG213" s="1183"/>
      <c r="BH213" s="805">
        <f>I213</f>
        <v>4404</v>
      </c>
      <c r="BI213" s="805">
        <f>I213</f>
        <v>4404</v>
      </c>
      <c r="BJ213" s="805">
        <f>I213</f>
        <v>4404</v>
      </c>
      <c r="BL213" s="1215"/>
      <c r="BM213" s="1215"/>
      <c r="BN213" s="1215"/>
      <c r="BO213" s="1215"/>
      <c r="BP213" s="1215"/>
      <c r="BQ213" s="1215"/>
      <c r="BT213" s="807">
        <f t="shared" si="73"/>
        <v>0</v>
      </c>
      <c r="BU213" s="807">
        <f t="shared" si="74"/>
        <v>0</v>
      </c>
      <c r="BV213" s="291">
        <f t="shared" si="67"/>
        <v>915113</v>
      </c>
      <c r="BW213" s="1214"/>
      <c r="BX213" s="1214"/>
      <c r="BY213" s="1216"/>
      <c r="BZ213" s="291">
        <f t="shared" si="63"/>
        <v>384887</v>
      </c>
      <c r="CA213" s="1215"/>
      <c r="CF213" s="1220"/>
      <c r="CG213" s="1220"/>
      <c r="CH213" s="1220"/>
      <c r="CI213" s="1220"/>
      <c r="CJ213" s="1220"/>
      <c r="CK213" s="1220"/>
      <c r="CL213" s="1220"/>
      <c r="CM213" s="1220"/>
      <c r="CN213" s="1220"/>
      <c r="CO213" s="1220"/>
      <c r="CP213" s="1220"/>
      <c r="CQ213" s="1220"/>
      <c r="CR213" s="1220"/>
      <c r="CS213" s="1220"/>
      <c r="CT213" s="1220"/>
      <c r="CU213" s="1220"/>
      <c r="CV213" s="1220"/>
      <c r="CW213" s="1220"/>
      <c r="CX213" s="1220"/>
      <c r="CY213" s="1220"/>
      <c r="CZ213" s="1220"/>
      <c r="DA213" s="1220"/>
    </row>
    <row r="214" s="1098" customFormat="1" ht="31" hidden="1" customHeight="1" spans="1:105">
      <c r="A214" s="1181">
        <v>46035</v>
      </c>
      <c r="B214" s="1182" t="s">
        <v>715</v>
      </c>
      <c r="C214" s="1183" t="s">
        <v>716</v>
      </c>
      <c r="D214" s="1097">
        <v>4500191202</v>
      </c>
      <c r="E214" s="1184" t="s">
        <v>1018</v>
      </c>
      <c r="F214" s="1097" t="s">
        <v>1019</v>
      </c>
      <c r="G214" s="1185" t="s">
        <v>375</v>
      </c>
      <c r="H214" s="1185" t="s">
        <v>376</v>
      </c>
      <c r="I214" s="1190">
        <v>12</v>
      </c>
      <c r="J214" s="1190">
        <v>0</v>
      </c>
      <c r="K214" s="1190">
        <v>12</v>
      </c>
      <c r="L214" s="1191">
        <f t="shared" si="52"/>
        <v>1</v>
      </c>
      <c r="M214" s="1192">
        <v>46092</v>
      </c>
      <c r="N214" s="1192">
        <v>46088</v>
      </c>
      <c r="O214" s="1184"/>
      <c r="P214" s="1193"/>
      <c r="Q214" s="1184"/>
      <c r="R214" s="1199">
        <v>46035</v>
      </c>
      <c r="S214" s="1199" t="s">
        <v>48</v>
      </c>
      <c r="T214" s="1199" t="s">
        <v>1016</v>
      </c>
      <c r="U214" s="1200" t="s">
        <v>1020</v>
      </c>
      <c r="V214" s="1201" t="s">
        <v>721</v>
      </c>
      <c r="W214" s="1202">
        <v>2.8135</v>
      </c>
      <c r="X214" s="1203">
        <f t="shared" si="59"/>
        <v>33.762</v>
      </c>
      <c r="Y214" s="1184"/>
      <c r="Z214" s="285" t="s">
        <v>375</v>
      </c>
      <c r="AA214" s="1190" t="s">
        <v>53</v>
      </c>
      <c r="AB214" s="911" t="s">
        <v>54</v>
      </c>
      <c r="AC214" s="1184"/>
      <c r="AD214" s="1208">
        <v>12</v>
      </c>
      <c r="AE214" s="1130">
        <f t="shared" si="68"/>
        <v>0</v>
      </c>
      <c r="AF214" s="1209"/>
      <c r="AG214" s="1184" t="s">
        <v>55</v>
      </c>
      <c r="AH214" s="1184"/>
      <c r="AI214" s="1184">
        <f>I214*2</f>
        <v>24</v>
      </c>
      <c r="AJ214" s="1180"/>
      <c r="AK214" s="968">
        <f>I214*2</f>
        <v>24</v>
      </c>
      <c r="AL214" s="968"/>
      <c r="AM214" s="805">
        <f>I214*2</f>
        <v>24</v>
      </c>
      <c r="AN214" s="1097"/>
      <c r="AO214" s="1097"/>
      <c r="AP214" s="1097"/>
      <c r="AQ214" s="1097"/>
      <c r="AR214" s="1097"/>
      <c r="AS214" s="1097"/>
      <c r="AT214" s="1097"/>
      <c r="AU214" s="1097"/>
      <c r="AV214" s="1097"/>
      <c r="AW214" s="1097"/>
      <c r="AX214" s="1097"/>
      <c r="AY214" s="1097"/>
      <c r="AZ214" s="1097"/>
      <c r="BA214" s="1097"/>
      <c r="BB214" s="1097"/>
      <c r="BC214" s="1183"/>
      <c r="BD214" s="1183"/>
      <c r="BE214" s="1183"/>
      <c r="BF214" s="1183"/>
      <c r="BG214" s="1183"/>
      <c r="BH214" s="805">
        <f>I214</f>
        <v>12</v>
      </c>
      <c r="BI214" s="805">
        <f>I214</f>
        <v>12</v>
      </c>
      <c r="BJ214" s="805">
        <f>I214</f>
        <v>12</v>
      </c>
      <c r="BL214" s="1215"/>
      <c r="BM214" s="1215"/>
      <c r="BN214" s="1215"/>
      <c r="BO214" s="1215"/>
      <c r="BP214" s="1215"/>
      <c r="BQ214" s="1215"/>
      <c r="BT214" s="807">
        <f t="shared" si="73"/>
        <v>0</v>
      </c>
      <c r="BU214" s="807">
        <f t="shared" si="74"/>
        <v>0</v>
      </c>
      <c r="BV214" s="291">
        <f t="shared" si="67"/>
        <v>915137</v>
      </c>
      <c r="BW214" s="1214"/>
      <c r="BX214" s="1214"/>
      <c r="BY214" s="1216"/>
      <c r="BZ214" s="291">
        <f t="shared" si="63"/>
        <v>384863</v>
      </c>
      <c r="CA214" s="1215"/>
      <c r="CF214" s="1220"/>
      <c r="CG214" s="1220"/>
      <c r="CH214" s="1220"/>
      <c r="CI214" s="1220"/>
      <c r="CJ214" s="1220"/>
      <c r="CK214" s="1220"/>
      <c r="CL214" s="1220"/>
      <c r="CM214" s="1220"/>
      <c r="CN214" s="1220"/>
      <c r="CO214" s="1220"/>
      <c r="CP214" s="1220"/>
      <c r="CQ214" s="1220"/>
      <c r="CR214" s="1220"/>
      <c r="CS214" s="1220"/>
      <c r="CT214" s="1220"/>
      <c r="CU214" s="1220"/>
      <c r="CV214" s="1220"/>
      <c r="CW214" s="1220"/>
      <c r="CX214" s="1220"/>
      <c r="CY214" s="1220"/>
      <c r="CZ214" s="1220"/>
      <c r="DA214" s="1220"/>
    </row>
    <row r="215" s="1098" customFormat="1" ht="31" hidden="1" customHeight="1" spans="1:105">
      <c r="A215" s="1181">
        <v>46035</v>
      </c>
      <c r="B215" s="1182" t="s">
        <v>715</v>
      </c>
      <c r="C215" s="1183" t="s">
        <v>716</v>
      </c>
      <c r="D215" s="1097">
        <v>4500191202</v>
      </c>
      <c r="E215" s="1184" t="s">
        <v>1021</v>
      </c>
      <c r="F215" s="1097" t="s">
        <v>1022</v>
      </c>
      <c r="G215" s="1185" t="s">
        <v>375</v>
      </c>
      <c r="H215" s="1185" t="s">
        <v>376</v>
      </c>
      <c r="I215" s="1190">
        <v>12</v>
      </c>
      <c r="J215" s="1190">
        <v>0</v>
      </c>
      <c r="K215" s="1190">
        <v>12</v>
      </c>
      <c r="L215" s="1191">
        <f t="shared" si="52"/>
        <v>1</v>
      </c>
      <c r="M215" s="1192">
        <v>46092</v>
      </c>
      <c r="N215" s="1192">
        <v>46088</v>
      </c>
      <c r="O215" s="1184"/>
      <c r="P215" s="1193"/>
      <c r="Q215" s="1184"/>
      <c r="R215" s="1199">
        <v>46035</v>
      </c>
      <c r="S215" s="1199" t="s">
        <v>48</v>
      </c>
      <c r="T215" s="1199" t="s">
        <v>1016</v>
      </c>
      <c r="U215" s="1200" t="s">
        <v>1020</v>
      </c>
      <c r="V215" s="1201" t="s">
        <v>721</v>
      </c>
      <c r="W215" s="1202">
        <v>2.8135</v>
      </c>
      <c r="X215" s="1203">
        <f t="shared" si="59"/>
        <v>33.762</v>
      </c>
      <c r="Y215" s="1184"/>
      <c r="Z215" s="285" t="s">
        <v>375</v>
      </c>
      <c r="AA215" s="1190" t="s">
        <v>53</v>
      </c>
      <c r="AB215" s="911" t="s">
        <v>54</v>
      </c>
      <c r="AC215" s="1184"/>
      <c r="AD215" s="1208">
        <v>12</v>
      </c>
      <c r="AE215" s="1130">
        <f t="shared" si="68"/>
        <v>0</v>
      </c>
      <c r="AF215" s="1209"/>
      <c r="AG215" s="1184" t="s">
        <v>55</v>
      </c>
      <c r="AH215" s="1184"/>
      <c r="AI215" s="1184">
        <f>I215*2</f>
        <v>24</v>
      </c>
      <c r="AJ215" s="1180"/>
      <c r="AK215" s="968">
        <f>I215*2</f>
        <v>24</v>
      </c>
      <c r="AL215" s="968"/>
      <c r="AM215" s="805">
        <f>I215*2</f>
        <v>24</v>
      </c>
      <c r="AN215" s="1097"/>
      <c r="AO215" s="1097"/>
      <c r="AP215" s="1097"/>
      <c r="AQ215" s="1097"/>
      <c r="AR215" s="1097"/>
      <c r="AS215" s="1097"/>
      <c r="AT215" s="1097"/>
      <c r="AU215" s="1097"/>
      <c r="AV215" s="1097"/>
      <c r="AW215" s="1097"/>
      <c r="AX215" s="1097"/>
      <c r="AY215" s="1097"/>
      <c r="AZ215" s="1097"/>
      <c r="BA215" s="1097"/>
      <c r="BB215" s="1097"/>
      <c r="BC215" s="1183"/>
      <c r="BD215" s="1183"/>
      <c r="BE215" s="1183"/>
      <c r="BF215" s="1183"/>
      <c r="BG215" s="1183"/>
      <c r="BH215" s="805">
        <f>I215</f>
        <v>12</v>
      </c>
      <c r="BI215" s="805">
        <f>I215</f>
        <v>12</v>
      </c>
      <c r="BJ215" s="805">
        <f>I215</f>
        <v>12</v>
      </c>
      <c r="BL215" s="1215"/>
      <c r="BM215" s="1215"/>
      <c r="BN215" s="1215"/>
      <c r="BO215" s="1215"/>
      <c r="BP215" s="1215"/>
      <c r="BQ215" s="1215"/>
      <c r="BT215" s="807">
        <f t="shared" si="73"/>
        <v>0</v>
      </c>
      <c r="BU215" s="807">
        <f t="shared" si="74"/>
        <v>0</v>
      </c>
      <c r="BV215" s="291">
        <f t="shared" si="67"/>
        <v>915161</v>
      </c>
      <c r="BW215" s="1214"/>
      <c r="BX215" s="1214"/>
      <c r="BY215" s="1216"/>
      <c r="BZ215" s="291">
        <f t="shared" si="63"/>
        <v>384839</v>
      </c>
      <c r="CA215" s="1215"/>
      <c r="CF215" s="1220"/>
      <c r="CG215" s="1220"/>
      <c r="CH215" s="1220"/>
      <c r="CI215" s="1220"/>
      <c r="CJ215" s="1220"/>
      <c r="CK215" s="1220"/>
      <c r="CL215" s="1220"/>
      <c r="CM215" s="1220"/>
      <c r="CN215" s="1220"/>
      <c r="CO215" s="1220"/>
      <c r="CP215" s="1220"/>
      <c r="CQ215" s="1220"/>
      <c r="CR215" s="1220"/>
      <c r="CS215" s="1220"/>
      <c r="CT215" s="1220"/>
      <c r="CU215" s="1220"/>
      <c r="CV215" s="1220"/>
      <c r="CW215" s="1220"/>
      <c r="CX215" s="1220"/>
      <c r="CY215" s="1220"/>
      <c r="CZ215" s="1220"/>
      <c r="DA215" s="1220"/>
    </row>
    <row r="216" s="1098" customFormat="1" ht="31" hidden="1" customHeight="1" spans="1:105">
      <c r="A216" s="1181">
        <v>46035</v>
      </c>
      <c r="B216" s="1182" t="s">
        <v>715</v>
      </c>
      <c r="C216" s="1183" t="s">
        <v>716</v>
      </c>
      <c r="D216" s="1097">
        <v>4500191202</v>
      </c>
      <c r="E216" s="1184" t="s">
        <v>1023</v>
      </c>
      <c r="F216" s="1300" t="s">
        <v>1024</v>
      </c>
      <c r="G216" s="1185" t="s">
        <v>375</v>
      </c>
      <c r="H216" s="1185" t="s">
        <v>376</v>
      </c>
      <c r="I216" s="1190">
        <v>12</v>
      </c>
      <c r="J216" s="1190">
        <v>0</v>
      </c>
      <c r="K216" s="1190">
        <v>12</v>
      </c>
      <c r="L216" s="1191">
        <f t="shared" si="52"/>
        <v>1</v>
      </c>
      <c r="M216" s="1192">
        <v>46092</v>
      </c>
      <c r="N216" s="1192">
        <v>46088</v>
      </c>
      <c r="O216" s="1184"/>
      <c r="P216" s="1193"/>
      <c r="Q216" s="1184"/>
      <c r="R216" s="1199">
        <v>46035</v>
      </c>
      <c r="S216" s="1199" t="s">
        <v>48</v>
      </c>
      <c r="T216" s="1199" t="s">
        <v>1016</v>
      </c>
      <c r="U216" s="1200" t="s">
        <v>1020</v>
      </c>
      <c r="V216" s="1201" t="s">
        <v>721</v>
      </c>
      <c r="W216" s="1202">
        <v>2.8135</v>
      </c>
      <c r="X216" s="1203">
        <f t="shared" si="59"/>
        <v>33.762</v>
      </c>
      <c r="Y216" s="1184"/>
      <c r="Z216" s="285" t="s">
        <v>375</v>
      </c>
      <c r="AA216" s="1190" t="s">
        <v>53</v>
      </c>
      <c r="AB216" s="911" t="s">
        <v>54</v>
      </c>
      <c r="AC216" s="1184"/>
      <c r="AD216" s="1208">
        <v>12</v>
      </c>
      <c r="AE216" s="1130">
        <f t="shared" si="68"/>
        <v>0</v>
      </c>
      <c r="AF216" s="1209"/>
      <c r="AG216" s="1184" t="s">
        <v>55</v>
      </c>
      <c r="AH216" s="1184"/>
      <c r="AI216" s="1184">
        <f>I216*2</f>
        <v>24</v>
      </c>
      <c r="AJ216" s="1180"/>
      <c r="AK216" s="968">
        <f>I216*2</f>
        <v>24</v>
      </c>
      <c r="AL216" s="968"/>
      <c r="AM216" s="805">
        <f>I216*2</f>
        <v>24</v>
      </c>
      <c r="AN216" s="1097"/>
      <c r="AO216" s="1097"/>
      <c r="AP216" s="1097"/>
      <c r="AQ216" s="1097"/>
      <c r="AR216" s="1097"/>
      <c r="AS216" s="1097"/>
      <c r="AT216" s="1097"/>
      <c r="AU216" s="1097"/>
      <c r="AV216" s="1097"/>
      <c r="AW216" s="1097"/>
      <c r="AX216" s="1097"/>
      <c r="AY216" s="1097"/>
      <c r="AZ216" s="1097"/>
      <c r="BA216" s="1097"/>
      <c r="BB216" s="1097"/>
      <c r="BC216" s="1183"/>
      <c r="BD216" s="1183"/>
      <c r="BE216" s="1183"/>
      <c r="BF216" s="1183"/>
      <c r="BG216" s="1183"/>
      <c r="BH216" s="805">
        <f>I216</f>
        <v>12</v>
      </c>
      <c r="BI216" s="805">
        <f>I216</f>
        <v>12</v>
      </c>
      <c r="BJ216" s="805">
        <f>I216</f>
        <v>12</v>
      </c>
      <c r="BL216" s="1215"/>
      <c r="BM216" s="1215"/>
      <c r="BN216" s="1215"/>
      <c r="BO216" s="1215"/>
      <c r="BP216" s="1215"/>
      <c r="BQ216" s="1215"/>
      <c r="BT216" s="807">
        <f t="shared" si="73"/>
        <v>0</v>
      </c>
      <c r="BU216" s="807">
        <f t="shared" si="74"/>
        <v>0</v>
      </c>
      <c r="BV216" s="291">
        <f t="shared" si="67"/>
        <v>915185</v>
      </c>
      <c r="BW216" s="1214"/>
      <c r="BX216" s="1214"/>
      <c r="BY216" s="1216"/>
      <c r="BZ216" s="291">
        <f t="shared" si="63"/>
        <v>384815</v>
      </c>
      <c r="CA216" s="1215"/>
      <c r="CF216" s="1220"/>
      <c r="CG216" s="1220"/>
      <c r="CH216" s="1220"/>
      <c r="CI216" s="1220"/>
      <c r="CJ216" s="1220"/>
      <c r="CK216" s="1220"/>
      <c r="CL216" s="1220"/>
      <c r="CM216" s="1220"/>
      <c r="CN216" s="1220"/>
      <c r="CO216" s="1220"/>
      <c r="CP216" s="1220"/>
      <c r="CQ216" s="1220"/>
      <c r="CR216" s="1220"/>
      <c r="CS216" s="1220"/>
      <c r="CT216" s="1220"/>
      <c r="CU216" s="1220"/>
      <c r="CV216" s="1220"/>
      <c r="CW216" s="1220"/>
      <c r="CX216" s="1220"/>
      <c r="CY216" s="1220"/>
      <c r="CZ216" s="1220"/>
      <c r="DA216" s="1220"/>
    </row>
    <row r="217" s="805" customFormat="1" ht="31" hidden="1" customHeight="1" spans="1:105">
      <c r="A217" s="1100">
        <v>46016</v>
      </c>
      <c r="B217" s="895" t="s">
        <v>199</v>
      </c>
      <c r="C217" s="1101" t="s">
        <v>84</v>
      </c>
      <c r="D217" s="805">
        <v>4500190004</v>
      </c>
      <c r="E217" s="1298" t="s">
        <v>1025</v>
      </c>
      <c r="F217" s="805" t="s">
        <v>1026</v>
      </c>
      <c r="G217" s="1102" t="s">
        <v>202</v>
      </c>
      <c r="H217" s="911" t="s">
        <v>203</v>
      </c>
      <c r="I217" s="911">
        <v>960</v>
      </c>
      <c r="J217" s="911">
        <v>0</v>
      </c>
      <c r="K217" s="911">
        <v>16</v>
      </c>
      <c r="L217" s="1112">
        <f t="shared" si="52"/>
        <v>60</v>
      </c>
      <c r="M217" s="1000">
        <v>46086</v>
      </c>
      <c r="N217" s="1000">
        <v>46083</v>
      </c>
      <c r="O217" s="1189" t="s">
        <v>1004</v>
      </c>
      <c r="P217" s="1113"/>
      <c r="Q217" s="285"/>
      <c r="R217" s="1119" t="s">
        <v>968</v>
      </c>
      <c r="S217" s="1119" t="s">
        <v>58</v>
      </c>
      <c r="T217" s="1119" t="s">
        <v>969</v>
      </c>
      <c r="U217" s="946" t="s">
        <v>421</v>
      </c>
      <c r="V217" s="1120" t="s">
        <v>207</v>
      </c>
      <c r="W217" s="1121">
        <v>1.2079</v>
      </c>
      <c r="X217" s="1122">
        <f t="shared" si="59"/>
        <v>1159.584</v>
      </c>
      <c r="Y217" s="285"/>
      <c r="Z217" s="1102" t="s">
        <v>202</v>
      </c>
      <c r="AA217" s="911" t="s">
        <v>53</v>
      </c>
      <c r="AB217" s="911" t="s">
        <v>54</v>
      </c>
      <c r="AC217" s="285"/>
      <c r="AD217" s="1130">
        <v>960</v>
      </c>
      <c r="AE217" s="1130">
        <f t="shared" ref="AE217:AE229" si="77">AD217-I217</f>
        <v>0</v>
      </c>
      <c r="AF217" s="1131"/>
      <c r="AG217" s="285" t="s">
        <v>55</v>
      </c>
      <c r="AH217" s="285"/>
      <c r="AI217" s="285">
        <f t="shared" ref="AI217:AI227" si="78">I217</f>
        <v>960</v>
      </c>
      <c r="AJ217" s="968">
        <f t="shared" ref="AJ217:AJ226" si="79">I217</f>
        <v>960</v>
      </c>
      <c r="AK217" s="968"/>
      <c r="AL217" s="968"/>
      <c r="AM217" s="805">
        <f t="shared" ref="AM217:AM227" si="80">I217</f>
        <v>960</v>
      </c>
      <c r="AW217" s="805">
        <f t="shared" ref="AW217:AW222" si="81">I217/16</f>
        <v>60</v>
      </c>
      <c r="BC217" s="1101"/>
      <c r="BD217" s="1101"/>
      <c r="BE217" s="1101"/>
      <c r="BF217" s="1101"/>
      <c r="BG217" s="1101"/>
      <c r="BL217" s="291"/>
      <c r="BM217" s="291"/>
      <c r="BN217" s="291"/>
      <c r="BO217" s="291"/>
      <c r="BP217" s="291"/>
      <c r="BQ217" s="291"/>
      <c r="BT217" s="805">
        <f t="shared" ref="BT217:BT228" si="82">AR217+AS217+AW217</f>
        <v>60</v>
      </c>
      <c r="BU217" s="805">
        <f t="shared" ref="BU217:BU228" si="83">BD217+BE217+BG217</f>
        <v>0</v>
      </c>
      <c r="BV217" s="291">
        <f t="shared" si="67"/>
        <v>916145</v>
      </c>
      <c r="BW217" s="291"/>
      <c r="BX217" s="291"/>
      <c r="BY217" s="975"/>
      <c r="BZ217" s="291">
        <f t="shared" si="63"/>
        <v>383855</v>
      </c>
      <c r="CA217" s="291"/>
      <c r="CF217" s="1142"/>
      <c r="CG217" s="1142"/>
      <c r="CH217" s="1142"/>
      <c r="CI217" s="1142"/>
      <c r="CJ217" s="1142"/>
      <c r="CK217" s="1142"/>
      <c r="CL217" s="1142"/>
      <c r="CM217" s="1142"/>
      <c r="CN217" s="1142"/>
      <c r="CO217" s="1142"/>
      <c r="CP217" s="1142"/>
      <c r="CQ217" s="1142"/>
      <c r="CR217" s="1142"/>
      <c r="CS217" s="1142"/>
      <c r="CT217" s="1142"/>
      <c r="CU217" s="1142"/>
      <c r="CV217" s="1142"/>
      <c r="CW217" s="1142"/>
      <c r="CX217" s="1142"/>
      <c r="CY217" s="1142"/>
      <c r="CZ217" s="1142"/>
      <c r="DA217" s="1142"/>
    </row>
    <row r="218" s="805" customFormat="1" ht="31" hidden="1" customHeight="1" spans="1:105">
      <c r="A218" s="1100">
        <v>46016</v>
      </c>
      <c r="B218" s="895" t="s">
        <v>199</v>
      </c>
      <c r="C218" s="1101" t="s">
        <v>84</v>
      </c>
      <c r="D218" s="805">
        <v>4500190004</v>
      </c>
      <c r="E218" s="1298" t="s">
        <v>1027</v>
      </c>
      <c r="F218" s="805" t="s">
        <v>1028</v>
      </c>
      <c r="G218" s="1102" t="s">
        <v>202</v>
      </c>
      <c r="H218" s="911" t="s">
        <v>203</v>
      </c>
      <c r="I218" s="911">
        <v>960</v>
      </c>
      <c r="J218" s="911">
        <v>0</v>
      </c>
      <c r="K218" s="911">
        <v>16</v>
      </c>
      <c r="L218" s="1112">
        <f t="shared" ref="L218:L237" si="84">I218/K218</f>
        <v>60</v>
      </c>
      <c r="M218" s="1000">
        <v>46086</v>
      </c>
      <c r="N218" s="1000">
        <v>46083</v>
      </c>
      <c r="O218" s="1189" t="s">
        <v>1004</v>
      </c>
      <c r="P218" s="1113"/>
      <c r="Q218" s="285"/>
      <c r="R218" s="1119" t="s">
        <v>968</v>
      </c>
      <c r="S218" s="1119" t="s">
        <v>58</v>
      </c>
      <c r="T218" s="1119" t="s">
        <v>969</v>
      </c>
      <c r="U218" s="946" t="s">
        <v>421</v>
      </c>
      <c r="V218" s="1120" t="s">
        <v>207</v>
      </c>
      <c r="W218" s="1121">
        <v>1.2079</v>
      </c>
      <c r="X218" s="1122">
        <f t="shared" si="59"/>
        <v>1159.584</v>
      </c>
      <c r="Y218" s="285"/>
      <c r="Z218" s="1102" t="s">
        <v>202</v>
      </c>
      <c r="AA218" s="911" t="s">
        <v>53</v>
      </c>
      <c r="AB218" s="911" t="s">
        <v>54</v>
      </c>
      <c r="AC218" s="285"/>
      <c r="AD218" s="1130">
        <v>960</v>
      </c>
      <c r="AE218" s="1130">
        <f t="shared" si="77"/>
        <v>0</v>
      </c>
      <c r="AF218" s="1131"/>
      <c r="AG218" s="285" t="s">
        <v>55</v>
      </c>
      <c r="AH218" s="285"/>
      <c r="AI218" s="285">
        <f t="shared" si="78"/>
        <v>960</v>
      </c>
      <c r="AJ218" s="968">
        <f t="shared" si="79"/>
        <v>960</v>
      </c>
      <c r="AK218" s="968"/>
      <c r="AL218" s="968"/>
      <c r="AM218" s="805">
        <f t="shared" si="80"/>
        <v>960</v>
      </c>
      <c r="AW218" s="805">
        <f t="shared" si="81"/>
        <v>60</v>
      </c>
      <c r="BC218" s="1101"/>
      <c r="BD218" s="1101"/>
      <c r="BE218" s="1101"/>
      <c r="BF218" s="1101"/>
      <c r="BG218" s="1101"/>
      <c r="BL218" s="291"/>
      <c r="BM218" s="291"/>
      <c r="BN218" s="291"/>
      <c r="BO218" s="291"/>
      <c r="BP218" s="291"/>
      <c r="BQ218" s="291"/>
      <c r="BT218" s="805">
        <f t="shared" si="82"/>
        <v>60</v>
      </c>
      <c r="BU218" s="805">
        <f t="shared" si="83"/>
        <v>0</v>
      </c>
      <c r="BV218" s="291">
        <f t="shared" si="67"/>
        <v>917105</v>
      </c>
      <c r="BW218" s="291"/>
      <c r="BX218" s="291"/>
      <c r="BY218" s="975"/>
      <c r="BZ218" s="291">
        <f t="shared" si="63"/>
        <v>382895</v>
      </c>
      <c r="CA218" s="291"/>
      <c r="CF218" s="1142"/>
      <c r="CG218" s="1142"/>
      <c r="CH218" s="1142"/>
      <c r="CI218" s="1142"/>
      <c r="CJ218" s="1142"/>
      <c r="CK218" s="1142"/>
      <c r="CL218" s="1142"/>
      <c r="CM218" s="1142"/>
      <c r="CN218" s="1142"/>
      <c r="CO218" s="1142"/>
      <c r="CP218" s="1142"/>
      <c r="CQ218" s="1142"/>
      <c r="CR218" s="1142"/>
      <c r="CS218" s="1142"/>
      <c r="CT218" s="1142"/>
      <c r="CU218" s="1142"/>
      <c r="CV218" s="1142"/>
      <c r="CW218" s="1142"/>
      <c r="CX218" s="1142"/>
      <c r="CY218" s="1142"/>
      <c r="CZ218" s="1142"/>
      <c r="DA218" s="1142"/>
    </row>
    <row r="219" s="805" customFormat="1" ht="31" hidden="1" customHeight="1" spans="1:105">
      <c r="A219" s="1100">
        <v>46016</v>
      </c>
      <c r="B219" s="895" t="s">
        <v>199</v>
      </c>
      <c r="C219" s="1101" t="s">
        <v>84</v>
      </c>
      <c r="D219" s="805">
        <v>4500190004</v>
      </c>
      <c r="E219" s="1298" t="s">
        <v>1029</v>
      </c>
      <c r="F219" s="805" t="s">
        <v>1030</v>
      </c>
      <c r="G219" s="1102" t="s">
        <v>202</v>
      </c>
      <c r="H219" s="911" t="s">
        <v>203</v>
      </c>
      <c r="I219" s="911">
        <v>960</v>
      </c>
      <c r="J219" s="911">
        <v>0</v>
      </c>
      <c r="K219" s="911">
        <v>16</v>
      </c>
      <c r="L219" s="1112">
        <f t="shared" si="84"/>
        <v>60</v>
      </c>
      <c r="M219" s="1000">
        <v>46086</v>
      </c>
      <c r="N219" s="1000">
        <v>46083</v>
      </c>
      <c r="O219" s="1189" t="s">
        <v>1004</v>
      </c>
      <c r="P219" s="1113"/>
      <c r="Q219" s="285"/>
      <c r="R219" s="1119" t="s">
        <v>968</v>
      </c>
      <c r="S219" s="1119" t="s">
        <v>58</v>
      </c>
      <c r="T219" s="1119" t="s">
        <v>969</v>
      </c>
      <c r="U219" s="946" t="s">
        <v>421</v>
      </c>
      <c r="V219" s="1120" t="s">
        <v>207</v>
      </c>
      <c r="W219" s="1121">
        <v>1.2079</v>
      </c>
      <c r="X219" s="1122">
        <f t="shared" si="59"/>
        <v>1159.584</v>
      </c>
      <c r="Y219" s="285"/>
      <c r="Z219" s="1102" t="s">
        <v>202</v>
      </c>
      <c r="AA219" s="911" t="s">
        <v>53</v>
      </c>
      <c r="AB219" s="911" t="s">
        <v>54</v>
      </c>
      <c r="AC219" s="285"/>
      <c r="AD219" s="1130">
        <v>960</v>
      </c>
      <c r="AE219" s="1130">
        <f t="shared" si="77"/>
        <v>0</v>
      </c>
      <c r="AF219" s="1131"/>
      <c r="AG219" s="285" t="s">
        <v>55</v>
      </c>
      <c r="AH219" s="285"/>
      <c r="AI219" s="285">
        <f t="shared" si="78"/>
        <v>960</v>
      </c>
      <c r="AJ219" s="968">
        <f t="shared" si="79"/>
        <v>960</v>
      </c>
      <c r="AK219" s="968"/>
      <c r="AL219" s="968"/>
      <c r="AM219" s="805">
        <f t="shared" si="80"/>
        <v>960</v>
      </c>
      <c r="AW219" s="805">
        <f t="shared" si="81"/>
        <v>60</v>
      </c>
      <c r="BC219" s="1101"/>
      <c r="BD219" s="1101"/>
      <c r="BE219" s="1101"/>
      <c r="BF219" s="1101"/>
      <c r="BG219" s="1101"/>
      <c r="BL219" s="291"/>
      <c r="BM219" s="291"/>
      <c r="BN219" s="291"/>
      <c r="BO219" s="291"/>
      <c r="BP219" s="291"/>
      <c r="BQ219" s="291"/>
      <c r="BT219" s="805">
        <f t="shared" si="82"/>
        <v>60</v>
      </c>
      <c r="BU219" s="805">
        <f t="shared" si="83"/>
        <v>0</v>
      </c>
      <c r="BV219" s="291">
        <f t="shared" si="67"/>
        <v>918065</v>
      </c>
      <c r="BW219" s="291"/>
      <c r="BX219" s="291"/>
      <c r="BY219" s="975"/>
      <c r="BZ219" s="291">
        <f t="shared" ref="BZ219:BZ248" si="85">$BX$1+$BY$1+$BZ$1-BV219</f>
        <v>381935</v>
      </c>
      <c r="CA219" s="291"/>
      <c r="CF219" s="1142"/>
      <c r="CG219" s="1142"/>
      <c r="CH219" s="1142"/>
      <c r="CI219" s="1142"/>
      <c r="CJ219" s="1142"/>
      <c r="CK219" s="1142"/>
      <c r="CL219" s="1142"/>
      <c r="CM219" s="1142"/>
      <c r="CN219" s="1142"/>
      <c r="CO219" s="1142"/>
      <c r="CP219" s="1142"/>
      <c r="CQ219" s="1142"/>
      <c r="CR219" s="1142"/>
      <c r="CS219" s="1142"/>
      <c r="CT219" s="1142"/>
      <c r="CU219" s="1142"/>
      <c r="CV219" s="1142"/>
      <c r="CW219" s="1142"/>
      <c r="CX219" s="1142"/>
      <c r="CY219" s="1142"/>
      <c r="CZ219" s="1142"/>
      <c r="DA219" s="1142"/>
    </row>
    <row r="220" s="805" customFormat="1" ht="31" hidden="1" customHeight="1" spans="1:105">
      <c r="A220" s="1100">
        <v>46016</v>
      </c>
      <c r="B220" s="895" t="s">
        <v>199</v>
      </c>
      <c r="C220" s="1101" t="s">
        <v>84</v>
      </c>
      <c r="D220" s="805">
        <v>4500190004</v>
      </c>
      <c r="E220" s="1298" t="s">
        <v>1031</v>
      </c>
      <c r="F220" s="805" t="s">
        <v>1032</v>
      </c>
      <c r="G220" s="1102" t="s">
        <v>202</v>
      </c>
      <c r="H220" s="911" t="s">
        <v>203</v>
      </c>
      <c r="I220" s="911">
        <v>960</v>
      </c>
      <c r="J220" s="911">
        <v>0</v>
      </c>
      <c r="K220" s="911">
        <v>16</v>
      </c>
      <c r="L220" s="1112">
        <f t="shared" si="84"/>
        <v>60</v>
      </c>
      <c r="M220" s="1000">
        <v>46086</v>
      </c>
      <c r="N220" s="1000">
        <v>46083</v>
      </c>
      <c r="O220" s="1189" t="s">
        <v>1004</v>
      </c>
      <c r="P220" s="1113"/>
      <c r="Q220" s="285"/>
      <c r="R220" s="1119" t="s">
        <v>968</v>
      </c>
      <c r="S220" s="1119" t="s">
        <v>58</v>
      </c>
      <c r="T220" s="1119" t="s">
        <v>969</v>
      </c>
      <c r="U220" s="946" t="s">
        <v>421</v>
      </c>
      <c r="V220" s="1120" t="s">
        <v>207</v>
      </c>
      <c r="W220" s="1121">
        <v>1.2079</v>
      </c>
      <c r="X220" s="1122">
        <f t="shared" si="59"/>
        <v>1159.584</v>
      </c>
      <c r="Y220" s="285"/>
      <c r="Z220" s="1102" t="s">
        <v>202</v>
      </c>
      <c r="AA220" s="911" t="s">
        <v>53</v>
      </c>
      <c r="AB220" s="911" t="s">
        <v>54</v>
      </c>
      <c r="AC220" s="285"/>
      <c r="AD220" s="1130">
        <v>960</v>
      </c>
      <c r="AE220" s="1130">
        <f t="shared" si="77"/>
        <v>0</v>
      </c>
      <c r="AF220" s="1131"/>
      <c r="AG220" s="285" t="s">
        <v>55</v>
      </c>
      <c r="AH220" s="285"/>
      <c r="AI220" s="285">
        <f t="shared" si="78"/>
        <v>960</v>
      </c>
      <c r="AJ220" s="968">
        <f t="shared" si="79"/>
        <v>960</v>
      </c>
      <c r="AK220" s="968"/>
      <c r="AL220" s="968"/>
      <c r="AM220" s="805">
        <f t="shared" si="80"/>
        <v>960</v>
      </c>
      <c r="AW220" s="805">
        <f t="shared" si="81"/>
        <v>60</v>
      </c>
      <c r="BC220" s="1101"/>
      <c r="BD220" s="1101"/>
      <c r="BE220" s="1101"/>
      <c r="BF220" s="1101"/>
      <c r="BG220" s="1101"/>
      <c r="BL220" s="291"/>
      <c r="BM220" s="291"/>
      <c r="BN220" s="291"/>
      <c r="BO220" s="291"/>
      <c r="BP220" s="291"/>
      <c r="BQ220" s="291"/>
      <c r="BT220" s="805">
        <f t="shared" si="82"/>
        <v>60</v>
      </c>
      <c r="BU220" s="805">
        <f t="shared" si="83"/>
        <v>0</v>
      </c>
      <c r="BV220" s="291">
        <f t="shared" si="67"/>
        <v>919025</v>
      </c>
      <c r="BW220" s="291"/>
      <c r="BX220" s="291"/>
      <c r="BY220" s="975"/>
      <c r="BZ220" s="291">
        <f t="shared" si="85"/>
        <v>380975</v>
      </c>
      <c r="CA220" s="291"/>
      <c r="CF220" s="1142"/>
      <c r="CG220" s="1142"/>
      <c r="CH220" s="1142"/>
      <c r="CI220" s="1142"/>
      <c r="CJ220" s="1142"/>
      <c r="CK220" s="1142"/>
      <c r="CL220" s="1142"/>
      <c r="CM220" s="1142"/>
      <c r="CN220" s="1142"/>
      <c r="CO220" s="1142"/>
      <c r="CP220" s="1142"/>
      <c r="CQ220" s="1142"/>
      <c r="CR220" s="1142"/>
      <c r="CS220" s="1142"/>
      <c r="CT220" s="1142"/>
      <c r="CU220" s="1142"/>
      <c r="CV220" s="1142"/>
      <c r="CW220" s="1142"/>
      <c r="CX220" s="1142"/>
      <c r="CY220" s="1142"/>
      <c r="CZ220" s="1142"/>
      <c r="DA220" s="1142"/>
    </row>
    <row r="221" s="805" customFormat="1" ht="31" hidden="1" customHeight="1" spans="1:105">
      <c r="A221" s="1172">
        <v>46029</v>
      </c>
      <c r="B221" s="1173" t="s">
        <v>498</v>
      </c>
      <c r="C221" s="1174" t="s">
        <v>149</v>
      </c>
      <c r="D221" s="1175">
        <v>4500190876</v>
      </c>
      <c r="E221" s="1173">
        <v>47893449</v>
      </c>
      <c r="F221" s="1175" t="s">
        <v>1033</v>
      </c>
      <c r="G221" s="1102" t="s">
        <v>145</v>
      </c>
      <c r="H221" s="911" t="s">
        <v>137</v>
      </c>
      <c r="I221" s="911">
        <v>520</v>
      </c>
      <c r="J221" s="911">
        <v>0</v>
      </c>
      <c r="K221" s="911">
        <v>52</v>
      </c>
      <c r="L221" s="1112">
        <f t="shared" si="84"/>
        <v>10</v>
      </c>
      <c r="M221" s="932">
        <v>46093</v>
      </c>
      <c r="N221" s="932">
        <f t="shared" ref="N217:N224" si="86">M221-3</f>
        <v>46090</v>
      </c>
      <c r="O221" s="285"/>
      <c r="P221" s="1113"/>
      <c r="Q221" s="285"/>
      <c r="R221" s="1119" t="s">
        <v>1034</v>
      </c>
      <c r="S221" s="1119" t="s">
        <v>58</v>
      </c>
      <c r="T221" s="1119" t="s">
        <v>1035</v>
      </c>
      <c r="U221" s="946" t="s">
        <v>1036</v>
      </c>
      <c r="V221" s="1120" t="s">
        <v>503</v>
      </c>
      <c r="W221" s="1121">
        <v>1.8212</v>
      </c>
      <c r="X221" s="1122">
        <f t="shared" si="59"/>
        <v>947.024</v>
      </c>
      <c r="Y221" s="285"/>
      <c r="Z221" s="1102" t="s">
        <v>145</v>
      </c>
      <c r="AA221" s="911" t="s">
        <v>53</v>
      </c>
      <c r="AB221" s="911" t="s">
        <v>54</v>
      </c>
      <c r="AC221" s="285"/>
      <c r="AD221" s="1130"/>
      <c r="AE221" s="1130">
        <f t="shared" si="77"/>
        <v>-520</v>
      </c>
      <c r="AF221" s="1131"/>
      <c r="AG221" s="895" t="s">
        <v>55</v>
      </c>
      <c r="AH221" s="285"/>
      <c r="AI221" s="285">
        <f t="shared" si="78"/>
        <v>520</v>
      </c>
      <c r="AJ221" s="968">
        <f t="shared" si="79"/>
        <v>520</v>
      </c>
      <c r="AL221" s="968"/>
      <c r="AM221" s="805">
        <f t="shared" si="80"/>
        <v>520</v>
      </c>
      <c r="AP221" s="803">
        <f>I221/13</f>
        <v>40</v>
      </c>
      <c r="BC221" s="1101"/>
      <c r="BD221" s="1101"/>
      <c r="BE221" s="1101"/>
      <c r="BF221" s="1101"/>
      <c r="BG221" s="1101"/>
      <c r="BL221" s="291"/>
      <c r="BM221" s="291"/>
      <c r="BN221" s="291"/>
      <c r="BO221" s="291"/>
      <c r="BP221" s="291"/>
      <c r="BQ221" s="291"/>
      <c r="BT221" s="805">
        <f t="shared" si="82"/>
        <v>0</v>
      </c>
      <c r="BU221" s="805">
        <f t="shared" si="83"/>
        <v>0</v>
      </c>
      <c r="BV221" s="291">
        <f t="shared" si="67"/>
        <v>919545</v>
      </c>
      <c r="BW221" s="291"/>
      <c r="BX221" s="291"/>
      <c r="BY221" s="975"/>
      <c r="BZ221" s="291">
        <f t="shared" si="85"/>
        <v>380455</v>
      </c>
      <c r="CA221" s="291"/>
      <c r="CF221" s="1142"/>
      <c r="CG221" s="1142"/>
      <c r="CH221" s="1142"/>
      <c r="CI221" s="1142"/>
      <c r="CJ221" s="1142"/>
      <c r="CK221" s="1142"/>
      <c r="CL221" s="1142"/>
      <c r="CM221" s="1142"/>
      <c r="CN221" s="1142"/>
      <c r="CO221" s="1142"/>
      <c r="CP221" s="1142"/>
      <c r="CQ221" s="1142"/>
      <c r="CR221" s="1142"/>
      <c r="CS221" s="1142"/>
      <c r="CT221" s="1142"/>
      <c r="CU221" s="1142"/>
      <c r="CV221" s="1142"/>
      <c r="CW221" s="1142"/>
      <c r="CX221" s="1142"/>
      <c r="CY221" s="1142"/>
      <c r="CZ221" s="1142"/>
      <c r="DA221" s="1142"/>
    </row>
    <row r="222" s="805" customFormat="1" ht="31" hidden="1" customHeight="1" spans="1:105">
      <c r="A222" s="1100">
        <v>46029</v>
      </c>
      <c r="B222" s="895" t="s">
        <v>498</v>
      </c>
      <c r="C222" s="1101" t="s">
        <v>149</v>
      </c>
      <c r="D222" s="805">
        <v>4500190876</v>
      </c>
      <c r="E222" s="285">
        <v>47893450</v>
      </c>
      <c r="F222" s="805" t="s">
        <v>1037</v>
      </c>
      <c r="G222" s="1102" t="s">
        <v>145</v>
      </c>
      <c r="H222" s="911" t="s">
        <v>137</v>
      </c>
      <c r="I222" s="911">
        <v>468</v>
      </c>
      <c r="J222" s="911">
        <v>0</v>
      </c>
      <c r="K222" s="911">
        <v>52</v>
      </c>
      <c r="L222" s="1112">
        <f t="shared" si="84"/>
        <v>9</v>
      </c>
      <c r="M222" s="932">
        <v>46093</v>
      </c>
      <c r="N222" s="932">
        <f t="shared" si="86"/>
        <v>46090</v>
      </c>
      <c r="O222" s="285"/>
      <c r="P222" s="1113"/>
      <c r="Q222" s="285"/>
      <c r="R222" s="1119" t="s">
        <v>1034</v>
      </c>
      <c r="S222" s="1119" t="s">
        <v>58</v>
      </c>
      <c r="T222" s="1119" t="s">
        <v>1035</v>
      </c>
      <c r="U222" s="946" t="s">
        <v>1036</v>
      </c>
      <c r="V222" s="1120" t="s">
        <v>503</v>
      </c>
      <c r="W222" s="1121">
        <v>1.8769</v>
      </c>
      <c r="X222" s="1122">
        <f t="shared" si="59"/>
        <v>878.3892</v>
      </c>
      <c r="Y222" s="285"/>
      <c r="Z222" s="1102" t="s">
        <v>145</v>
      </c>
      <c r="AA222" s="911" t="s">
        <v>53</v>
      </c>
      <c r="AB222" s="911" t="s">
        <v>54</v>
      </c>
      <c r="AC222" s="285"/>
      <c r="AD222" s="1130"/>
      <c r="AE222" s="1130">
        <f t="shared" si="77"/>
        <v>-468</v>
      </c>
      <c r="AF222" s="1131"/>
      <c r="AG222" s="1212"/>
      <c r="AH222" s="285"/>
      <c r="AI222" s="285">
        <f t="shared" si="78"/>
        <v>468</v>
      </c>
      <c r="AJ222" s="968">
        <f t="shared" si="79"/>
        <v>468</v>
      </c>
      <c r="AL222" s="968"/>
      <c r="AM222" s="805">
        <f t="shared" si="80"/>
        <v>468</v>
      </c>
      <c r="AP222" s="803">
        <f>I222/13</f>
        <v>36</v>
      </c>
      <c r="BC222" s="1101"/>
      <c r="BD222" s="1101"/>
      <c r="BE222" s="1101"/>
      <c r="BF222" s="1101"/>
      <c r="BG222" s="1101"/>
      <c r="BL222" s="291"/>
      <c r="BM222" s="291"/>
      <c r="BN222" s="291"/>
      <c r="BO222" s="291"/>
      <c r="BP222" s="291"/>
      <c r="BQ222" s="291"/>
      <c r="BT222" s="805">
        <f t="shared" si="82"/>
        <v>0</v>
      </c>
      <c r="BU222" s="805">
        <f t="shared" si="83"/>
        <v>0</v>
      </c>
      <c r="BV222" s="291">
        <f t="shared" si="67"/>
        <v>920013</v>
      </c>
      <c r="BW222" s="291"/>
      <c r="BX222" s="291"/>
      <c r="BY222" s="975"/>
      <c r="BZ222" s="291">
        <f t="shared" si="85"/>
        <v>379987</v>
      </c>
      <c r="CA222" s="291"/>
      <c r="CF222" s="1142"/>
      <c r="CG222" s="1142"/>
      <c r="CH222" s="1142"/>
      <c r="CI222" s="1142"/>
      <c r="CJ222" s="1142"/>
      <c r="CK222" s="1142"/>
      <c r="CL222" s="1142"/>
      <c r="CM222" s="1142"/>
      <c r="CN222" s="1142"/>
      <c r="CO222" s="1142"/>
      <c r="CP222" s="1142"/>
      <c r="CQ222" s="1142"/>
      <c r="CR222" s="1142"/>
      <c r="CS222" s="1142"/>
      <c r="CT222" s="1142"/>
      <c r="CU222" s="1142"/>
      <c r="CV222" s="1142"/>
      <c r="CW222" s="1142"/>
      <c r="CX222" s="1142"/>
      <c r="CY222" s="1142"/>
      <c r="CZ222" s="1142"/>
      <c r="DA222" s="1142"/>
    </row>
    <row r="223" s="805" customFormat="1" ht="31" hidden="1" customHeight="1" spans="1:105">
      <c r="A223" s="1100">
        <v>46029</v>
      </c>
      <c r="B223" s="895" t="s">
        <v>498</v>
      </c>
      <c r="C223" s="1101" t="s">
        <v>149</v>
      </c>
      <c r="D223" s="805">
        <v>4500190876</v>
      </c>
      <c r="E223" s="285">
        <v>47893451</v>
      </c>
      <c r="F223" s="805" t="s">
        <v>1038</v>
      </c>
      <c r="G223" s="1102" t="s">
        <v>145</v>
      </c>
      <c r="H223" s="911" t="s">
        <v>137</v>
      </c>
      <c r="I223" s="911">
        <v>364</v>
      </c>
      <c r="J223" s="911">
        <v>0</v>
      </c>
      <c r="K223" s="911">
        <v>52</v>
      </c>
      <c r="L223" s="1112">
        <f t="shared" si="84"/>
        <v>7</v>
      </c>
      <c r="M223" s="932">
        <v>46093</v>
      </c>
      <c r="N223" s="932">
        <f t="shared" si="86"/>
        <v>46090</v>
      </c>
      <c r="O223" s="285"/>
      <c r="P223" s="1113"/>
      <c r="Q223" s="285"/>
      <c r="R223" s="1119" t="s">
        <v>1034</v>
      </c>
      <c r="S223" s="1119" t="s">
        <v>58</v>
      </c>
      <c r="T223" s="1119" t="s">
        <v>1035</v>
      </c>
      <c r="U223" s="946" t="s">
        <v>1036</v>
      </c>
      <c r="V223" s="1120" t="s">
        <v>503</v>
      </c>
      <c r="W223" s="1121">
        <v>1.8769</v>
      </c>
      <c r="X223" s="1122">
        <f t="shared" si="59"/>
        <v>683.1916</v>
      </c>
      <c r="Y223" s="285"/>
      <c r="Z223" s="1102" t="s">
        <v>145</v>
      </c>
      <c r="AA223" s="911" t="s">
        <v>53</v>
      </c>
      <c r="AB223" s="911" t="s">
        <v>54</v>
      </c>
      <c r="AC223" s="285"/>
      <c r="AD223" s="1130"/>
      <c r="AE223" s="1130">
        <f t="shared" si="77"/>
        <v>-364</v>
      </c>
      <c r="AF223" s="1131"/>
      <c r="AG223" s="1212"/>
      <c r="AH223" s="285"/>
      <c r="AI223" s="285">
        <f t="shared" si="78"/>
        <v>364</v>
      </c>
      <c r="AJ223" s="968">
        <f t="shared" si="79"/>
        <v>364</v>
      </c>
      <c r="AL223" s="968"/>
      <c r="AM223" s="805">
        <f t="shared" si="80"/>
        <v>364</v>
      </c>
      <c r="AP223" s="803">
        <f>I223/13</f>
        <v>28</v>
      </c>
      <c r="BC223" s="1101"/>
      <c r="BD223" s="1101"/>
      <c r="BE223" s="1101"/>
      <c r="BF223" s="1101"/>
      <c r="BG223" s="1101"/>
      <c r="BL223" s="291"/>
      <c r="BM223" s="291"/>
      <c r="BN223" s="291"/>
      <c r="BO223" s="291"/>
      <c r="BP223" s="291"/>
      <c r="BQ223" s="291"/>
      <c r="BT223" s="805">
        <f t="shared" si="82"/>
        <v>0</v>
      </c>
      <c r="BU223" s="805">
        <f t="shared" si="83"/>
        <v>0</v>
      </c>
      <c r="BV223" s="291">
        <f t="shared" si="67"/>
        <v>920377</v>
      </c>
      <c r="BW223" s="291"/>
      <c r="BX223" s="291"/>
      <c r="BY223" s="975"/>
      <c r="BZ223" s="291">
        <f t="shared" si="85"/>
        <v>379623</v>
      </c>
      <c r="CA223" s="291"/>
      <c r="CF223" s="1142"/>
      <c r="CG223" s="1142"/>
      <c r="CH223" s="1142"/>
      <c r="CI223" s="1142"/>
      <c r="CJ223" s="1142"/>
      <c r="CK223" s="1142"/>
      <c r="CL223" s="1142"/>
      <c r="CM223" s="1142"/>
      <c r="CN223" s="1142"/>
      <c r="CO223" s="1142"/>
      <c r="CP223" s="1142"/>
      <c r="CQ223" s="1142"/>
      <c r="CR223" s="1142"/>
      <c r="CS223" s="1142"/>
      <c r="CT223" s="1142"/>
      <c r="CU223" s="1142"/>
      <c r="CV223" s="1142"/>
      <c r="CW223" s="1142"/>
      <c r="CX223" s="1142"/>
      <c r="CY223" s="1142"/>
      <c r="CZ223" s="1142"/>
      <c r="DA223" s="1142"/>
    </row>
    <row r="224" s="805" customFormat="1" ht="31" hidden="1" customHeight="1" spans="1:105">
      <c r="A224" s="1100">
        <v>46029</v>
      </c>
      <c r="B224" s="895" t="s">
        <v>498</v>
      </c>
      <c r="C224" s="1101" t="s">
        <v>149</v>
      </c>
      <c r="D224" s="805">
        <v>4500190876</v>
      </c>
      <c r="E224" s="285">
        <v>47893452</v>
      </c>
      <c r="F224" s="805" t="s">
        <v>1039</v>
      </c>
      <c r="G224" s="1102" t="s">
        <v>145</v>
      </c>
      <c r="H224" s="911" t="s">
        <v>137</v>
      </c>
      <c r="I224" s="911">
        <v>156</v>
      </c>
      <c r="J224" s="911">
        <v>0</v>
      </c>
      <c r="K224" s="911">
        <v>52</v>
      </c>
      <c r="L224" s="1112">
        <f t="shared" si="84"/>
        <v>3</v>
      </c>
      <c r="M224" s="932">
        <v>46093</v>
      </c>
      <c r="N224" s="932">
        <f t="shared" si="86"/>
        <v>46090</v>
      </c>
      <c r="O224" s="285"/>
      <c r="P224" s="1113"/>
      <c r="Q224" s="285"/>
      <c r="R224" s="1119" t="s">
        <v>1034</v>
      </c>
      <c r="S224" s="1119" t="s">
        <v>58</v>
      </c>
      <c r="T224" s="1119" t="s">
        <v>1035</v>
      </c>
      <c r="U224" s="946" t="s">
        <v>1036</v>
      </c>
      <c r="V224" s="1120" t="s">
        <v>503</v>
      </c>
      <c r="W224" s="1121">
        <v>1.8769</v>
      </c>
      <c r="X224" s="1122">
        <f t="shared" si="59"/>
        <v>292.7964</v>
      </c>
      <c r="Y224" s="285"/>
      <c r="Z224" s="1102" t="s">
        <v>145</v>
      </c>
      <c r="AA224" s="911" t="s">
        <v>53</v>
      </c>
      <c r="AB224" s="911" t="s">
        <v>54</v>
      </c>
      <c r="AC224" s="285"/>
      <c r="AD224" s="1130"/>
      <c r="AE224" s="1130">
        <f t="shared" si="77"/>
        <v>-156</v>
      </c>
      <c r="AF224" s="1131"/>
      <c r="AG224" s="961"/>
      <c r="AH224" s="285"/>
      <c r="AI224" s="285">
        <f t="shared" si="78"/>
        <v>156</v>
      </c>
      <c r="AJ224" s="968">
        <f t="shared" si="79"/>
        <v>156</v>
      </c>
      <c r="AL224" s="968"/>
      <c r="AM224" s="805">
        <f t="shared" si="80"/>
        <v>156</v>
      </c>
      <c r="AP224" s="803">
        <f>I224/13</f>
        <v>12</v>
      </c>
      <c r="BC224" s="1101"/>
      <c r="BD224" s="1101"/>
      <c r="BE224" s="1101"/>
      <c r="BF224" s="1101"/>
      <c r="BG224" s="1101"/>
      <c r="BL224" s="291"/>
      <c r="BM224" s="291"/>
      <c r="BN224" s="291"/>
      <c r="BO224" s="291"/>
      <c r="BP224" s="291"/>
      <c r="BQ224" s="291"/>
      <c r="BT224" s="805">
        <f t="shared" si="82"/>
        <v>0</v>
      </c>
      <c r="BU224" s="805">
        <f t="shared" si="83"/>
        <v>0</v>
      </c>
      <c r="BV224" s="291">
        <f t="shared" si="67"/>
        <v>920533</v>
      </c>
      <c r="BW224" s="291"/>
      <c r="BX224" s="291"/>
      <c r="BY224" s="975"/>
      <c r="BZ224" s="291">
        <f t="shared" si="85"/>
        <v>379467</v>
      </c>
      <c r="CA224" s="291"/>
      <c r="CF224" s="1142"/>
      <c r="CG224" s="1142"/>
      <c r="CH224" s="1142"/>
      <c r="CI224" s="1142"/>
      <c r="CJ224" s="1142"/>
      <c r="CK224" s="1142"/>
      <c r="CL224" s="1142"/>
      <c r="CM224" s="1142"/>
      <c r="CN224" s="1142"/>
      <c r="CO224" s="1142"/>
      <c r="CP224" s="1142"/>
      <c r="CQ224" s="1142"/>
      <c r="CR224" s="1142"/>
      <c r="CS224" s="1142"/>
      <c r="CT224" s="1142"/>
      <c r="CU224" s="1142"/>
      <c r="CV224" s="1142"/>
      <c r="CW224" s="1142"/>
      <c r="CX224" s="1142"/>
      <c r="CY224" s="1142"/>
      <c r="CZ224" s="1142"/>
      <c r="DA224" s="1142"/>
    </row>
    <row r="225" s="807" customFormat="1" ht="31" hidden="1" customHeight="1" spans="1:105">
      <c r="A225" s="1100">
        <v>46037</v>
      </c>
      <c r="B225" s="895" t="s">
        <v>1040</v>
      </c>
      <c r="C225" s="1101" t="s">
        <v>753</v>
      </c>
      <c r="D225" s="895">
        <v>4500191577</v>
      </c>
      <c r="E225" s="285"/>
      <c r="F225" s="946" t="s">
        <v>1041</v>
      </c>
      <c r="G225" s="1102" t="s">
        <v>136</v>
      </c>
      <c r="H225" s="911" t="s">
        <v>137</v>
      </c>
      <c r="I225" s="911">
        <v>1000</v>
      </c>
      <c r="J225" s="911">
        <v>0</v>
      </c>
      <c r="K225" s="911">
        <v>50</v>
      </c>
      <c r="L225" s="1112">
        <f t="shared" si="84"/>
        <v>20</v>
      </c>
      <c r="M225" s="932">
        <v>46101</v>
      </c>
      <c r="N225" s="932">
        <v>46097</v>
      </c>
      <c r="O225" s="236"/>
      <c r="P225" s="1113"/>
      <c r="Q225" s="285"/>
      <c r="R225" s="1119" t="s">
        <v>49</v>
      </c>
      <c r="S225" s="945" t="s">
        <v>58</v>
      </c>
      <c r="T225" s="1119" t="s">
        <v>49</v>
      </c>
      <c r="U225" s="946" t="s">
        <v>1042</v>
      </c>
      <c r="V225" s="1120" t="s">
        <v>653</v>
      </c>
      <c r="W225" s="1121">
        <v>1.9324</v>
      </c>
      <c r="X225" s="1122">
        <f t="shared" si="59"/>
        <v>1932.4</v>
      </c>
      <c r="Y225" s="285"/>
      <c r="Z225" s="1102" t="s">
        <v>355</v>
      </c>
      <c r="AA225" s="911" t="s">
        <v>53</v>
      </c>
      <c r="AB225" s="911" t="s">
        <v>54</v>
      </c>
      <c r="AC225" s="285"/>
      <c r="AD225" s="1130"/>
      <c r="AE225" s="1130">
        <f t="shared" si="77"/>
        <v>-1000</v>
      </c>
      <c r="AF225" s="1131"/>
      <c r="AG225" s="285" t="s">
        <v>55</v>
      </c>
      <c r="AH225" s="285"/>
      <c r="AI225" s="285">
        <f t="shared" si="78"/>
        <v>1000</v>
      </c>
      <c r="AJ225" s="968"/>
      <c r="AK225" s="805"/>
      <c r="AL225" s="968">
        <f>I225</f>
        <v>1000</v>
      </c>
      <c r="AM225" s="805">
        <f t="shared" si="80"/>
        <v>1000</v>
      </c>
      <c r="AN225" s="805"/>
      <c r="AO225" s="968"/>
      <c r="AP225" s="805"/>
      <c r="AQ225" s="805"/>
      <c r="AR225" s="805"/>
      <c r="AS225" s="805">
        <f>I225/25</f>
        <v>40</v>
      </c>
      <c r="AT225" s="805"/>
      <c r="AU225" s="805"/>
      <c r="AV225" s="805"/>
      <c r="AW225" s="805"/>
      <c r="AX225" s="805"/>
      <c r="AY225" s="805"/>
      <c r="AZ225" s="805"/>
      <c r="BA225" s="805"/>
      <c r="BB225" s="805"/>
      <c r="BC225" s="1101"/>
      <c r="BD225" s="1101"/>
      <c r="BE225" s="1101"/>
      <c r="BF225" s="1101"/>
      <c r="BG225" s="1101"/>
      <c r="BH225" s="805"/>
      <c r="BI225" s="805"/>
      <c r="BJ225" s="805"/>
      <c r="BL225" s="1214"/>
      <c r="BM225" s="1214"/>
      <c r="BN225" s="1214"/>
      <c r="BO225" s="1214"/>
      <c r="BP225" s="1214"/>
      <c r="BQ225" s="1214"/>
      <c r="BT225" s="805">
        <f t="shared" si="82"/>
        <v>40</v>
      </c>
      <c r="BU225" s="805">
        <f t="shared" si="83"/>
        <v>0</v>
      </c>
      <c r="BV225" s="291">
        <f t="shared" si="67"/>
        <v>921533</v>
      </c>
      <c r="BW225" s="1214"/>
      <c r="BX225" s="1214"/>
      <c r="BY225" s="1216"/>
      <c r="BZ225" s="291">
        <f t="shared" si="85"/>
        <v>378467</v>
      </c>
      <c r="CA225" s="1214"/>
      <c r="CF225" s="1219"/>
      <c r="CG225" s="1219"/>
      <c r="CH225" s="1219"/>
      <c r="CI225" s="1219"/>
      <c r="CJ225" s="1219"/>
      <c r="CK225" s="1219"/>
      <c r="CL225" s="1219"/>
      <c r="CM225" s="1219"/>
      <c r="CN225" s="1219"/>
      <c r="CO225" s="1219"/>
      <c r="CP225" s="1219"/>
      <c r="CQ225" s="1219"/>
      <c r="CR225" s="1219"/>
      <c r="CS225" s="1219"/>
      <c r="CT225" s="1219"/>
      <c r="CU225" s="1219"/>
      <c r="CV225" s="1219"/>
      <c r="CW225" s="1219"/>
      <c r="CX225" s="1219"/>
      <c r="CY225" s="1219"/>
      <c r="CZ225" s="1219"/>
      <c r="DA225" s="1219"/>
    </row>
    <row r="226" s="1098" customFormat="1" ht="31" hidden="1" customHeight="1" spans="1:105">
      <c r="A226" s="1181">
        <v>46044</v>
      </c>
      <c r="B226" s="1182" t="s">
        <v>594</v>
      </c>
      <c r="C226" s="1183" t="s">
        <v>70</v>
      </c>
      <c r="D226" s="1097">
        <v>4500191855</v>
      </c>
      <c r="E226" s="1184" t="s">
        <v>1043</v>
      </c>
      <c r="F226" s="1097" t="s">
        <v>1044</v>
      </c>
      <c r="G226" s="1185" t="s">
        <v>375</v>
      </c>
      <c r="H226" s="1185" t="s">
        <v>376</v>
      </c>
      <c r="I226" s="1190">
        <v>504</v>
      </c>
      <c r="J226" s="1190">
        <v>0</v>
      </c>
      <c r="K226" s="1190">
        <v>12</v>
      </c>
      <c r="L226" s="1191">
        <f t="shared" si="84"/>
        <v>42</v>
      </c>
      <c r="M226" s="1192">
        <v>46101</v>
      </c>
      <c r="N226" s="1192">
        <v>46097</v>
      </c>
      <c r="O226" s="1184"/>
      <c r="P226" s="1193"/>
      <c r="Q226" s="1184"/>
      <c r="R226" s="1119" t="s">
        <v>49</v>
      </c>
      <c r="S226" s="1199" t="s">
        <v>48</v>
      </c>
      <c r="T226" s="1199" t="s">
        <v>1045</v>
      </c>
      <c r="U226" s="1200" t="s">
        <v>1046</v>
      </c>
      <c r="V226" s="1201" t="s">
        <v>589</v>
      </c>
      <c r="W226" s="1202">
        <v>2.7354</v>
      </c>
      <c r="X226" s="1203">
        <f t="shared" si="59"/>
        <v>1378.6416</v>
      </c>
      <c r="Y226" s="1184"/>
      <c r="Z226" s="285" t="s">
        <v>375</v>
      </c>
      <c r="AA226" s="1190" t="s">
        <v>53</v>
      </c>
      <c r="AB226" s="911" t="s">
        <v>54</v>
      </c>
      <c r="AC226" s="1184"/>
      <c r="AD226" s="1208"/>
      <c r="AE226" s="1130">
        <f t="shared" si="77"/>
        <v>-504</v>
      </c>
      <c r="AF226" s="1209"/>
      <c r="AG226" s="1184" t="s">
        <v>55</v>
      </c>
      <c r="AH226" s="1184"/>
      <c r="AI226" s="1184">
        <f>I226*2</f>
        <v>1008</v>
      </c>
      <c r="AJ226" s="1180"/>
      <c r="AK226" s="968">
        <f>I226*2</f>
        <v>1008</v>
      </c>
      <c r="AL226" s="968"/>
      <c r="AM226" s="805">
        <f>I226*2</f>
        <v>1008</v>
      </c>
      <c r="AN226" s="1097"/>
      <c r="AO226" s="1097"/>
      <c r="AP226" s="1097"/>
      <c r="AQ226" s="1097"/>
      <c r="AR226" s="1097"/>
      <c r="AS226" s="1097"/>
      <c r="AT226" s="1097"/>
      <c r="AU226" s="1097"/>
      <c r="AV226" s="1097"/>
      <c r="AW226" s="1097"/>
      <c r="AX226" s="1097"/>
      <c r="AY226" s="1097"/>
      <c r="AZ226" s="1097"/>
      <c r="BA226" s="1097"/>
      <c r="BB226" s="1097"/>
      <c r="BC226" s="1183"/>
      <c r="BD226" s="1183"/>
      <c r="BE226" s="1183"/>
      <c r="BF226" s="1183"/>
      <c r="BG226" s="1183"/>
      <c r="BH226" s="805">
        <f>I226</f>
        <v>504</v>
      </c>
      <c r="BI226" s="805">
        <f>I226</f>
        <v>504</v>
      </c>
      <c r="BJ226" s="805">
        <f>I226</f>
        <v>504</v>
      </c>
      <c r="BL226" s="1215"/>
      <c r="BM226" s="1215"/>
      <c r="BN226" s="1215"/>
      <c r="BO226" s="1215"/>
      <c r="BP226" s="1215"/>
      <c r="BQ226" s="1215"/>
      <c r="BT226" s="807">
        <f t="shared" si="82"/>
        <v>0</v>
      </c>
      <c r="BU226" s="807">
        <f t="shared" si="83"/>
        <v>0</v>
      </c>
      <c r="BV226" s="291">
        <f t="shared" si="67"/>
        <v>922541</v>
      </c>
      <c r="BW226" s="1214"/>
      <c r="BX226" s="1214"/>
      <c r="BY226" s="1216"/>
      <c r="BZ226" s="291">
        <f t="shared" si="85"/>
        <v>377459</v>
      </c>
      <c r="CA226" s="1215"/>
      <c r="CF226" s="1220"/>
      <c r="CG226" s="1220"/>
      <c r="CH226" s="1220"/>
      <c r="CI226" s="1220"/>
      <c r="CJ226" s="1220"/>
      <c r="CK226" s="1220"/>
      <c r="CL226" s="1220"/>
      <c r="CM226" s="1220"/>
      <c r="CN226" s="1220"/>
      <c r="CO226" s="1220"/>
      <c r="CP226" s="1220"/>
      <c r="CQ226" s="1220"/>
      <c r="CR226" s="1220"/>
      <c r="CS226" s="1220"/>
      <c r="CT226" s="1220"/>
      <c r="CU226" s="1220"/>
      <c r="CV226" s="1220"/>
      <c r="CW226" s="1220"/>
      <c r="CX226" s="1220"/>
      <c r="CY226" s="1220"/>
      <c r="CZ226" s="1220"/>
      <c r="DA226" s="1220"/>
    </row>
    <row r="227" s="805" customFormat="1" ht="31" hidden="1" customHeight="1" spans="1:105">
      <c r="A227" s="1100">
        <v>46016</v>
      </c>
      <c r="B227" s="895" t="s">
        <v>199</v>
      </c>
      <c r="C227" s="1101" t="s">
        <v>84</v>
      </c>
      <c r="D227" s="805">
        <v>4500190006</v>
      </c>
      <c r="E227" s="1298" t="s">
        <v>1047</v>
      </c>
      <c r="F227" s="805" t="s">
        <v>1048</v>
      </c>
      <c r="G227" s="1102" t="s">
        <v>202</v>
      </c>
      <c r="H227" s="911" t="s">
        <v>203</v>
      </c>
      <c r="I227" s="911">
        <v>960</v>
      </c>
      <c r="J227" s="911">
        <v>0</v>
      </c>
      <c r="K227" s="911">
        <v>16</v>
      </c>
      <c r="L227" s="1112">
        <f t="shared" si="84"/>
        <v>60</v>
      </c>
      <c r="M227" s="1000">
        <v>46098</v>
      </c>
      <c r="N227" s="1000">
        <f>M227-4</f>
        <v>46094</v>
      </c>
      <c r="O227" s="1189" t="s">
        <v>1049</v>
      </c>
      <c r="P227" s="1113"/>
      <c r="Q227" s="285"/>
      <c r="R227" s="1119" t="s">
        <v>968</v>
      </c>
      <c r="S227" s="1119" t="s">
        <v>58</v>
      </c>
      <c r="T227" s="1119" t="s">
        <v>969</v>
      </c>
      <c r="U227" s="946" t="s">
        <v>421</v>
      </c>
      <c r="V227" s="1120" t="s">
        <v>207</v>
      </c>
      <c r="W227" s="1121">
        <v>1.2079</v>
      </c>
      <c r="X227" s="1122">
        <f t="shared" si="59"/>
        <v>1159.584</v>
      </c>
      <c r="Y227" s="285"/>
      <c r="Z227" s="1102" t="s">
        <v>202</v>
      </c>
      <c r="AA227" s="911" t="s">
        <v>53</v>
      </c>
      <c r="AB227" s="911" t="s">
        <v>54</v>
      </c>
      <c r="AC227" s="285"/>
      <c r="AD227" s="1130"/>
      <c r="AE227" s="1130">
        <f t="shared" si="77"/>
        <v>-960</v>
      </c>
      <c r="AF227" s="1131"/>
      <c r="AG227" s="285" t="s">
        <v>55</v>
      </c>
      <c r="AH227" s="285"/>
      <c r="AI227" s="285">
        <f>I227</f>
        <v>960</v>
      </c>
      <c r="AJ227" s="968">
        <f>I227</f>
        <v>960</v>
      </c>
      <c r="AK227" s="968"/>
      <c r="AL227" s="968"/>
      <c r="AM227" s="805">
        <f>I227</f>
        <v>960</v>
      </c>
      <c r="AW227" s="805">
        <f>I227/16</f>
        <v>60</v>
      </c>
      <c r="BC227" s="1101"/>
      <c r="BD227" s="1101"/>
      <c r="BE227" s="1101"/>
      <c r="BF227" s="1101"/>
      <c r="BG227" s="1101"/>
      <c r="BL227" s="291"/>
      <c r="BM227" s="291"/>
      <c r="BN227" s="291"/>
      <c r="BO227" s="291"/>
      <c r="BP227" s="291"/>
      <c r="BQ227" s="291"/>
      <c r="BT227" s="805">
        <f t="shared" si="82"/>
        <v>60</v>
      </c>
      <c r="BU227" s="805">
        <f t="shared" si="83"/>
        <v>0</v>
      </c>
      <c r="BV227" s="291">
        <f t="shared" si="67"/>
        <v>923501</v>
      </c>
      <c r="BW227" s="291"/>
      <c r="BX227" s="291"/>
      <c r="BY227" s="975"/>
      <c r="BZ227" s="291">
        <f t="shared" si="85"/>
        <v>376499</v>
      </c>
      <c r="CA227" s="291"/>
      <c r="CF227" s="1142"/>
      <c r="CG227" s="1142"/>
      <c r="CH227" s="1142"/>
      <c r="CI227" s="1142"/>
      <c r="CJ227" s="1142"/>
      <c r="CK227" s="1142"/>
      <c r="CL227" s="1142"/>
      <c r="CM227" s="1142"/>
      <c r="CN227" s="1142"/>
      <c r="CO227" s="1142"/>
      <c r="CP227" s="1142"/>
      <c r="CQ227" s="1142"/>
      <c r="CR227" s="1142"/>
      <c r="CS227" s="1142"/>
      <c r="CT227" s="1142"/>
      <c r="CU227" s="1142"/>
      <c r="CV227" s="1142"/>
      <c r="CW227" s="1142"/>
      <c r="CX227" s="1142"/>
      <c r="CY227" s="1142"/>
      <c r="CZ227" s="1142"/>
      <c r="DA227" s="1142"/>
    </row>
    <row r="228" s="805" customFormat="1" ht="31" hidden="1" customHeight="1" spans="1:105">
      <c r="A228" s="1100">
        <v>46016</v>
      </c>
      <c r="B228" s="895" t="s">
        <v>199</v>
      </c>
      <c r="C228" s="1101" t="s">
        <v>84</v>
      </c>
      <c r="D228" s="805">
        <v>4500190006</v>
      </c>
      <c r="E228" s="1298" t="s">
        <v>1050</v>
      </c>
      <c r="F228" s="805" t="s">
        <v>1051</v>
      </c>
      <c r="G228" s="1102" t="s">
        <v>202</v>
      </c>
      <c r="H228" s="911" t="s">
        <v>203</v>
      </c>
      <c r="I228" s="911">
        <v>960</v>
      </c>
      <c r="J228" s="911">
        <v>0</v>
      </c>
      <c r="K228" s="911">
        <v>16</v>
      </c>
      <c r="L228" s="1112">
        <f t="shared" si="84"/>
        <v>60</v>
      </c>
      <c r="M228" s="1000">
        <v>46098</v>
      </c>
      <c r="N228" s="1000">
        <f>M228-4</f>
        <v>46094</v>
      </c>
      <c r="O228" s="1189" t="s">
        <v>1052</v>
      </c>
      <c r="P228" s="1113"/>
      <c r="Q228" s="285"/>
      <c r="R228" s="1119" t="s">
        <v>968</v>
      </c>
      <c r="S228" s="1119" t="s">
        <v>58</v>
      </c>
      <c r="T228" s="1119" t="s">
        <v>969</v>
      </c>
      <c r="U228" s="946" t="s">
        <v>421</v>
      </c>
      <c r="V228" s="1120" t="s">
        <v>207</v>
      </c>
      <c r="W228" s="1121">
        <v>1.2079</v>
      </c>
      <c r="X228" s="1122">
        <f t="shared" si="59"/>
        <v>1159.584</v>
      </c>
      <c r="Y228" s="285"/>
      <c r="Z228" s="1102" t="s">
        <v>202</v>
      </c>
      <c r="AA228" s="911" t="s">
        <v>53</v>
      </c>
      <c r="AB228" s="911" t="s">
        <v>54</v>
      </c>
      <c r="AC228" s="285"/>
      <c r="AD228" s="1130"/>
      <c r="AE228" s="1130">
        <f t="shared" si="77"/>
        <v>-960</v>
      </c>
      <c r="AF228" s="1131"/>
      <c r="AG228" s="285" t="s">
        <v>55</v>
      </c>
      <c r="AH228" s="285"/>
      <c r="AI228" s="285">
        <f>I228</f>
        <v>960</v>
      </c>
      <c r="AJ228" s="968">
        <f>I228</f>
        <v>960</v>
      </c>
      <c r="AK228" s="968"/>
      <c r="AL228" s="968"/>
      <c r="AM228" s="805">
        <f>I228</f>
        <v>960</v>
      </c>
      <c r="AW228" s="805">
        <f>I228/16</f>
        <v>60</v>
      </c>
      <c r="BC228" s="1101"/>
      <c r="BD228" s="1101"/>
      <c r="BE228" s="1101"/>
      <c r="BF228" s="1101"/>
      <c r="BG228" s="1101"/>
      <c r="BL228" s="291"/>
      <c r="BM228" s="291"/>
      <c r="BN228" s="291"/>
      <c r="BO228" s="291"/>
      <c r="BP228" s="291"/>
      <c r="BQ228" s="291"/>
      <c r="BT228" s="805">
        <f t="shared" si="82"/>
        <v>60</v>
      </c>
      <c r="BU228" s="805">
        <f t="shared" si="83"/>
        <v>0</v>
      </c>
      <c r="BV228" s="291">
        <f t="shared" si="67"/>
        <v>924461</v>
      </c>
      <c r="BW228" s="291"/>
      <c r="BX228" s="291"/>
      <c r="BY228" s="975"/>
      <c r="BZ228" s="291">
        <f t="shared" si="85"/>
        <v>375539</v>
      </c>
      <c r="CA228" s="291"/>
      <c r="CF228" s="1142"/>
      <c r="CG228" s="1142"/>
      <c r="CH228" s="1142"/>
      <c r="CI228" s="1142"/>
      <c r="CJ228" s="1142"/>
      <c r="CK228" s="1142"/>
      <c r="CL228" s="1142"/>
      <c r="CM228" s="1142"/>
      <c r="CN228" s="1142"/>
      <c r="CO228" s="1142"/>
      <c r="CP228" s="1142"/>
      <c r="CQ228" s="1142"/>
      <c r="CR228" s="1142"/>
      <c r="CS228" s="1142"/>
      <c r="CT228" s="1142"/>
      <c r="CU228" s="1142"/>
      <c r="CV228" s="1142"/>
      <c r="CW228" s="1142"/>
      <c r="CX228" s="1142"/>
      <c r="CY228" s="1142"/>
      <c r="CZ228" s="1142"/>
      <c r="DA228" s="1142"/>
    </row>
    <row r="229" s="807" customFormat="1" ht="31" hidden="1" customHeight="1" spans="1:105">
      <c r="A229" s="1100">
        <v>46058</v>
      </c>
      <c r="B229" s="895" t="s">
        <v>199</v>
      </c>
      <c r="C229" s="1101" t="s">
        <v>84</v>
      </c>
      <c r="D229" s="805">
        <v>4500193218</v>
      </c>
      <c r="E229" s="1298" t="s">
        <v>1053</v>
      </c>
      <c r="F229" s="805" t="s">
        <v>1054</v>
      </c>
      <c r="G229" s="1102" t="s">
        <v>202</v>
      </c>
      <c r="H229" s="911" t="s">
        <v>203</v>
      </c>
      <c r="I229" s="911">
        <v>12336</v>
      </c>
      <c r="J229" s="911">
        <v>0</v>
      </c>
      <c r="K229" s="911">
        <v>16</v>
      </c>
      <c r="L229" s="1112">
        <f t="shared" ref="L229:L248" si="87">I229/K229</f>
        <v>771</v>
      </c>
      <c r="M229" s="932">
        <v>46106</v>
      </c>
      <c r="N229" s="932">
        <v>46102</v>
      </c>
      <c r="O229" s="1189"/>
      <c r="P229" s="1113"/>
      <c r="Q229" s="285"/>
      <c r="R229" s="1119" t="s">
        <v>968</v>
      </c>
      <c r="S229" s="1119" t="s">
        <v>58</v>
      </c>
      <c r="T229" s="1119" t="s">
        <v>969</v>
      </c>
      <c r="U229" s="946" t="s">
        <v>421</v>
      </c>
      <c r="V229" s="1120" t="s">
        <v>207</v>
      </c>
      <c r="W229" s="1121">
        <v>1.1827</v>
      </c>
      <c r="X229" s="1122">
        <f t="shared" ref="X229:X236" si="88">W229*I229</f>
        <v>14589.7872</v>
      </c>
      <c r="Y229" s="285"/>
      <c r="Z229" s="1102" t="s">
        <v>202</v>
      </c>
      <c r="AA229" s="911"/>
      <c r="AB229" s="911"/>
      <c r="AC229" s="285"/>
      <c r="AD229" s="1130"/>
      <c r="AE229" s="1130">
        <f t="shared" ref="AE229:AE236" si="89">AD229-I229</f>
        <v>-12336</v>
      </c>
      <c r="AF229" s="1131"/>
      <c r="AG229" s="285"/>
      <c r="AH229" s="285"/>
      <c r="AI229" s="285">
        <f t="shared" ref="AI229:AI235" si="90">I229</f>
        <v>12336</v>
      </c>
      <c r="AJ229" s="968">
        <f t="shared" ref="AJ229:AJ236" si="91">I229</f>
        <v>12336</v>
      </c>
      <c r="AK229" s="968"/>
      <c r="AL229" s="968"/>
      <c r="AM229" s="805">
        <f t="shared" ref="AM229:AM244" si="92">I229</f>
        <v>12336</v>
      </c>
      <c r="AN229" s="805"/>
      <c r="AO229" s="805"/>
      <c r="AP229" s="805"/>
      <c r="AQ229" s="805"/>
      <c r="AR229" s="805"/>
      <c r="AS229" s="805"/>
      <c r="AT229" s="805"/>
      <c r="AU229" s="805"/>
      <c r="AV229" s="805"/>
      <c r="AW229" s="805">
        <f t="shared" ref="AW229:AW235" si="93">I229/16</f>
        <v>771</v>
      </c>
      <c r="AX229" s="805"/>
      <c r="AY229" s="805"/>
      <c r="AZ229" s="805"/>
      <c r="BA229" s="805"/>
      <c r="BB229" s="805"/>
      <c r="BC229" s="1101"/>
      <c r="BD229" s="1101"/>
      <c r="BE229" s="1101"/>
      <c r="BF229" s="1101"/>
      <c r="BG229" s="1101"/>
      <c r="BH229" s="805"/>
      <c r="BI229" s="805"/>
      <c r="BJ229" s="805"/>
      <c r="BL229" s="1214"/>
      <c r="BM229" s="1214"/>
      <c r="BN229" s="1214"/>
      <c r="BO229" s="1214"/>
      <c r="BP229" s="1214"/>
      <c r="BQ229" s="1214"/>
      <c r="BT229" s="805">
        <f t="shared" ref="BT229:BT242" si="94">AR229+AS229+AW229</f>
        <v>771</v>
      </c>
      <c r="BU229" s="805">
        <f t="shared" ref="BU229:BU242" si="95">BD229+BE229+BG229</f>
        <v>0</v>
      </c>
      <c r="BV229" s="291">
        <f t="shared" si="67"/>
        <v>936797</v>
      </c>
      <c r="BW229" s="1214"/>
      <c r="BX229" s="1214"/>
      <c r="BY229" s="1216"/>
      <c r="BZ229" s="291">
        <f t="shared" si="85"/>
        <v>363203</v>
      </c>
      <c r="CA229" s="1214"/>
      <c r="CF229" s="1219"/>
      <c r="CG229" s="1219"/>
      <c r="CH229" s="1219"/>
      <c r="CI229" s="1219"/>
      <c r="CJ229" s="1219"/>
      <c r="CK229" s="1219"/>
      <c r="CL229" s="1219"/>
      <c r="CM229" s="1219"/>
      <c r="CN229" s="1219"/>
      <c r="CO229" s="1219"/>
      <c r="CP229" s="1219"/>
      <c r="CQ229" s="1219"/>
      <c r="CR229" s="1219"/>
      <c r="CS229" s="1219"/>
      <c r="CT229" s="1219"/>
      <c r="CU229" s="1219"/>
      <c r="CV229" s="1219"/>
      <c r="CW229" s="1219"/>
      <c r="CX229" s="1219"/>
      <c r="CY229" s="1219"/>
      <c r="CZ229" s="1219"/>
      <c r="DA229" s="1219"/>
    </row>
    <row r="230" s="807" customFormat="1" ht="31" hidden="1" customHeight="1" spans="1:105">
      <c r="A230" s="1100">
        <v>46058</v>
      </c>
      <c r="B230" s="895" t="s">
        <v>199</v>
      </c>
      <c r="C230" s="1101" t="s">
        <v>84</v>
      </c>
      <c r="D230" s="805">
        <v>4500193218</v>
      </c>
      <c r="E230" s="1298" t="s">
        <v>1055</v>
      </c>
      <c r="F230" s="805" t="s">
        <v>1056</v>
      </c>
      <c r="G230" s="1102" t="s">
        <v>202</v>
      </c>
      <c r="H230" s="911" t="s">
        <v>203</v>
      </c>
      <c r="I230" s="911">
        <v>6800</v>
      </c>
      <c r="J230" s="911">
        <v>0</v>
      </c>
      <c r="K230" s="911">
        <v>16</v>
      </c>
      <c r="L230" s="1112">
        <f t="shared" si="87"/>
        <v>425</v>
      </c>
      <c r="M230" s="932">
        <v>46106</v>
      </c>
      <c r="N230" s="932">
        <v>46102</v>
      </c>
      <c r="O230" s="1189"/>
      <c r="P230" s="1113"/>
      <c r="Q230" s="285"/>
      <c r="R230" s="1119" t="s">
        <v>968</v>
      </c>
      <c r="S230" s="1119" t="s">
        <v>58</v>
      </c>
      <c r="T230" s="1119" t="s">
        <v>969</v>
      </c>
      <c r="U230" s="946" t="s">
        <v>421</v>
      </c>
      <c r="V230" s="1120" t="s">
        <v>207</v>
      </c>
      <c r="W230" s="1121">
        <v>1.1827</v>
      </c>
      <c r="X230" s="1122">
        <f t="shared" si="88"/>
        <v>8042.36</v>
      </c>
      <c r="Y230" s="285"/>
      <c r="Z230" s="1102" t="s">
        <v>202</v>
      </c>
      <c r="AA230" s="911"/>
      <c r="AB230" s="911"/>
      <c r="AC230" s="285"/>
      <c r="AD230" s="1130"/>
      <c r="AE230" s="1130">
        <f t="shared" si="89"/>
        <v>-6800</v>
      </c>
      <c r="AF230" s="1131"/>
      <c r="AG230" s="285"/>
      <c r="AH230" s="285"/>
      <c r="AI230" s="285">
        <f t="shared" si="90"/>
        <v>6800</v>
      </c>
      <c r="AJ230" s="968">
        <f t="shared" si="91"/>
        <v>6800</v>
      </c>
      <c r="AK230" s="968"/>
      <c r="AL230" s="968"/>
      <c r="AM230" s="805">
        <f t="shared" si="92"/>
        <v>6800</v>
      </c>
      <c r="AN230" s="805"/>
      <c r="AO230" s="805"/>
      <c r="AP230" s="805"/>
      <c r="AQ230" s="805"/>
      <c r="AR230" s="805"/>
      <c r="AS230" s="805"/>
      <c r="AT230" s="805"/>
      <c r="AU230" s="805"/>
      <c r="AV230" s="805"/>
      <c r="AW230" s="805">
        <f t="shared" si="93"/>
        <v>425</v>
      </c>
      <c r="AX230" s="805"/>
      <c r="AY230" s="805"/>
      <c r="AZ230" s="805"/>
      <c r="BA230" s="805"/>
      <c r="BB230" s="805"/>
      <c r="BC230" s="1101"/>
      <c r="BD230" s="1101"/>
      <c r="BE230" s="1101"/>
      <c r="BF230" s="1101"/>
      <c r="BG230" s="1101"/>
      <c r="BH230" s="805"/>
      <c r="BI230" s="805"/>
      <c r="BJ230" s="805"/>
      <c r="BL230" s="1214"/>
      <c r="BM230" s="1214"/>
      <c r="BN230" s="1214"/>
      <c r="BO230" s="1214"/>
      <c r="BP230" s="1214"/>
      <c r="BQ230" s="1214"/>
      <c r="BT230" s="805">
        <f t="shared" si="94"/>
        <v>425</v>
      </c>
      <c r="BU230" s="805">
        <f t="shared" si="95"/>
        <v>0</v>
      </c>
      <c r="BV230" s="291">
        <f t="shared" si="67"/>
        <v>943597</v>
      </c>
      <c r="BW230" s="1214"/>
      <c r="BX230" s="1214"/>
      <c r="BY230" s="1216"/>
      <c r="BZ230" s="291">
        <f t="shared" si="85"/>
        <v>356403</v>
      </c>
      <c r="CA230" s="1214"/>
      <c r="CF230" s="1219"/>
      <c r="CG230" s="1219"/>
      <c r="CH230" s="1219"/>
      <c r="CI230" s="1219"/>
      <c r="CJ230" s="1219"/>
      <c r="CK230" s="1219"/>
      <c r="CL230" s="1219"/>
      <c r="CM230" s="1219"/>
      <c r="CN230" s="1219"/>
      <c r="CO230" s="1219"/>
      <c r="CP230" s="1219"/>
      <c r="CQ230" s="1219"/>
      <c r="CR230" s="1219"/>
      <c r="CS230" s="1219"/>
      <c r="CT230" s="1219"/>
      <c r="CU230" s="1219"/>
      <c r="CV230" s="1219"/>
      <c r="CW230" s="1219"/>
      <c r="CX230" s="1219"/>
      <c r="CY230" s="1219"/>
      <c r="CZ230" s="1219"/>
      <c r="DA230" s="1219"/>
    </row>
    <row r="231" s="807" customFormat="1" ht="31" hidden="1" customHeight="1" spans="1:105">
      <c r="A231" s="1100">
        <v>46058</v>
      </c>
      <c r="B231" s="895" t="s">
        <v>199</v>
      </c>
      <c r="C231" s="1101" t="s">
        <v>84</v>
      </c>
      <c r="D231" s="805">
        <v>4500193218</v>
      </c>
      <c r="E231" s="1298" t="s">
        <v>1057</v>
      </c>
      <c r="F231" s="805" t="s">
        <v>1058</v>
      </c>
      <c r="G231" s="1102" t="s">
        <v>202</v>
      </c>
      <c r="H231" s="911" t="s">
        <v>203</v>
      </c>
      <c r="I231" s="911">
        <v>12496</v>
      </c>
      <c r="J231" s="911">
        <v>0</v>
      </c>
      <c r="K231" s="911">
        <v>16</v>
      </c>
      <c r="L231" s="1112">
        <f t="shared" si="87"/>
        <v>781</v>
      </c>
      <c r="M231" s="932">
        <v>46106</v>
      </c>
      <c r="N231" s="932">
        <v>46102</v>
      </c>
      <c r="O231" s="1189"/>
      <c r="P231" s="1113"/>
      <c r="Q231" s="285"/>
      <c r="R231" s="1119" t="s">
        <v>968</v>
      </c>
      <c r="S231" s="1119" t="s">
        <v>58</v>
      </c>
      <c r="T231" s="1119" t="s">
        <v>969</v>
      </c>
      <c r="U231" s="946" t="s">
        <v>421</v>
      </c>
      <c r="V231" s="1120" t="s">
        <v>207</v>
      </c>
      <c r="W231" s="1121">
        <v>1.1827</v>
      </c>
      <c r="X231" s="1122">
        <f t="shared" si="88"/>
        <v>14779.0192</v>
      </c>
      <c r="Y231" s="285"/>
      <c r="Z231" s="1102" t="s">
        <v>202</v>
      </c>
      <c r="AA231" s="911"/>
      <c r="AB231" s="911"/>
      <c r="AC231" s="285"/>
      <c r="AD231" s="1130"/>
      <c r="AE231" s="1130">
        <f t="shared" si="89"/>
        <v>-12496</v>
      </c>
      <c r="AF231" s="1131"/>
      <c r="AG231" s="285"/>
      <c r="AH231" s="285"/>
      <c r="AI231" s="285">
        <f t="shared" si="90"/>
        <v>12496</v>
      </c>
      <c r="AJ231" s="968">
        <f t="shared" si="91"/>
        <v>12496</v>
      </c>
      <c r="AK231" s="968"/>
      <c r="AL231" s="968"/>
      <c r="AM231" s="805">
        <f t="shared" si="92"/>
        <v>12496</v>
      </c>
      <c r="AN231" s="805"/>
      <c r="AO231" s="805"/>
      <c r="AP231" s="805"/>
      <c r="AQ231" s="805"/>
      <c r="AR231" s="805"/>
      <c r="AS231" s="805"/>
      <c r="AT231" s="805"/>
      <c r="AU231" s="805"/>
      <c r="AV231" s="805"/>
      <c r="AW231" s="805">
        <f t="shared" si="93"/>
        <v>781</v>
      </c>
      <c r="AX231" s="805"/>
      <c r="AY231" s="805"/>
      <c r="AZ231" s="805"/>
      <c r="BA231" s="805"/>
      <c r="BB231" s="805"/>
      <c r="BC231" s="1101"/>
      <c r="BD231" s="1101"/>
      <c r="BE231" s="1101"/>
      <c r="BF231" s="1101"/>
      <c r="BG231" s="1101"/>
      <c r="BH231" s="805"/>
      <c r="BI231" s="805"/>
      <c r="BJ231" s="805"/>
      <c r="BL231" s="1214"/>
      <c r="BM231" s="1214"/>
      <c r="BN231" s="1214"/>
      <c r="BO231" s="1214"/>
      <c r="BP231" s="1214"/>
      <c r="BQ231" s="1214"/>
      <c r="BT231" s="805">
        <f t="shared" si="94"/>
        <v>781</v>
      </c>
      <c r="BU231" s="805">
        <f t="shared" si="95"/>
        <v>0</v>
      </c>
      <c r="BV231" s="291">
        <f t="shared" si="67"/>
        <v>956093</v>
      </c>
      <c r="BW231" s="1214"/>
      <c r="BX231" s="1214"/>
      <c r="BY231" s="1216"/>
      <c r="BZ231" s="291">
        <f t="shared" si="85"/>
        <v>343907</v>
      </c>
      <c r="CA231" s="1214"/>
      <c r="CF231" s="1219"/>
      <c r="CG231" s="1219"/>
      <c r="CH231" s="1219"/>
      <c r="CI231" s="1219"/>
      <c r="CJ231" s="1219"/>
      <c r="CK231" s="1219"/>
      <c r="CL231" s="1219"/>
      <c r="CM231" s="1219"/>
      <c r="CN231" s="1219"/>
      <c r="CO231" s="1219"/>
      <c r="CP231" s="1219"/>
      <c r="CQ231" s="1219"/>
      <c r="CR231" s="1219"/>
      <c r="CS231" s="1219"/>
      <c r="CT231" s="1219"/>
      <c r="CU231" s="1219"/>
      <c r="CV231" s="1219"/>
      <c r="CW231" s="1219"/>
      <c r="CX231" s="1219"/>
      <c r="CY231" s="1219"/>
      <c r="CZ231" s="1219"/>
      <c r="DA231" s="1219"/>
    </row>
    <row r="232" s="807" customFormat="1" ht="31" hidden="1" customHeight="1" spans="1:105">
      <c r="A232" s="1100">
        <v>46058</v>
      </c>
      <c r="B232" s="895" t="s">
        <v>199</v>
      </c>
      <c r="C232" s="1101" t="s">
        <v>84</v>
      </c>
      <c r="D232" s="805">
        <v>4500193218</v>
      </c>
      <c r="E232" s="1298" t="s">
        <v>1059</v>
      </c>
      <c r="F232" s="805" t="s">
        <v>1060</v>
      </c>
      <c r="G232" s="1102" t="s">
        <v>202</v>
      </c>
      <c r="H232" s="911" t="s">
        <v>203</v>
      </c>
      <c r="I232" s="911">
        <v>7504</v>
      </c>
      <c r="J232" s="911">
        <v>0</v>
      </c>
      <c r="K232" s="911">
        <v>16</v>
      </c>
      <c r="L232" s="1112">
        <f t="shared" si="87"/>
        <v>469</v>
      </c>
      <c r="M232" s="932">
        <v>46106</v>
      </c>
      <c r="N232" s="932">
        <v>46102</v>
      </c>
      <c r="O232" s="1189"/>
      <c r="P232" s="1113"/>
      <c r="Q232" s="285"/>
      <c r="R232" s="1119" t="s">
        <v>968</v>
      </c>
      <c r="S232" s="1119" t="s">
        <v>58</v>
      </c>
      <c r="T232" s="1119" t="s">
        <v>969</v>
      </c>
      <c r="U232" s="946" t="s">
        <v>421</v>
      </c>
      <c r="V232" s="1120" t="s">
        <v>207</v>
      </c>
      <c r="W232" s="1121">
        <v>1.1827</v>
      </c>
      <c r="X232" s="1122">
        <f t="shared" si="88"/>
        <v>8874.9808</v>
      </c>
      <c r="Y232" s="285"/>
      <c r="Z232" s="1102" t="s">
        <v>202</v>
      </c>
      <c r="AA232" s="911"/>
      <c r="AB232" s="911"/>
      <c r="AC232" s="285"/>
      <c r="AD232" s="1130"/>
      <c r="AE232" s="1130">
        <f t="shared" si="89"/>
        <v>-7504</v>
      </c>
      <c r="AF232" s="1131"/>
      <c r="AG232" s="285"/>
      <c r="AH232" s="285"/>
      <c r="AI232" s="285">
        <f t="shared" si="90"/>
        <v>7504</v>
      </c>
      <c r="AJ232" s="968">
        <f t="shared" si="91"/>
        <v>7504</v>
      </c>
      <c r="AK232" s="968"/>
      <c r="AL232" s="968"/>
      <c r="AM232" s="805">
        <f t="shared" si="92"/>
        <v>7504</v>
      </c>
      <c r="AN232" s="805"/>
      <c r="AO232" s="805"/>
      <c r="AP232" s="805"/>
      <c r="AQ232" s="805"/>
      <c r="AR232" s="805"/>
      <c r="AS232" s="805"/>
      <c r="AT232" s="805"/>
      <c r="AU232" s="805"/>
      <c r="AV232" s="805"/>
      <c r="AW232" s="805">
        <f t="shared" si="93"/>
        <v>469</v>
      </c>
      <c r="AX232" s="805"/>
      <c r="AY232" s="805"/>
      <c r="AZ232" s="805"/>
      <c r="BA232" s="805"/>
      <c r="BB232" s="805"/>
      <c r="BC232" s="1101"/>
      <c r="BD232" s="1101"/>
      <c r="BE232" s="1101"/>
      <c r="BF232" s="1101"/>
      <c r="BG232" s="1101"/>
      <c r="BH232" s="805"/>
      <c r="BI232" s="805"/>
      <c r="BJ232" s="805"/>
      <c r="BL232" s="1214"/>
      <c r="BM232" s="1214"/>
      <c r="BN232" s="1214"/>
      <c r="BO232" s="1214"/>
      <c r="BP232" s="1214"/>
      <c r="BQ232" s="1214"/>
      <c r="BT232" s="805">
        <f t="shared" si="94"/>
        <v>469</v>
      </c>
      <c r="BU232" s="805">
        <f t="shared" si="95"/>
        <v>0</v>
      </c>
      <c r="BV232" s="291">
        <f t="shared" si="67"/>
        <v>963597</v>
      </c>
      <c r="BW232" s="1214"/>
      <c r="BX232" s="1214"/>
      <c r="BY232" s="1216"/>
      <c r="BZ232" s="291">
        <f t="shared" si="85"/>
        <v>336403</v>
      </c>
      <c r="CA232" s="1214"/>
      <c r="CF232" s="1219"/>
      <c r="CG232" s="1219"/>
      <c r="CH232" s="1219"/>
      <c r="CI232" s="1219"/>
      <c r="CJ232" s="1219"/>
      <c r="CK232" s="1219"/>
      <c r="CL232" s="1219"/>
      <c r="CM232" s="1219"/>
      <c r="CN232" s="1219"/>
      <c r="CO232" s="1219"/>
      <c r="CP232" s="1219"/>
      <c r="CQ232" s="1219"/>
      <c r="CR232" s="1219"/>
      <c r="CS232" s="1219"/>
      <c r="CT232" s="1219"/>
      <c r="CU232" s="1219"/>
      <c r="CV232" s="1219"/>
      <c r="CW232" s="1219"/>
      <c r="CX232" s="1219"/>
      <c r="CY232" s="1219"/>
      <c r="CZ232" s="1219"/>
      <c r="DA232" s="1219"/>
    </row>
    <row r="233" s="807" customFormat="1" ht="31" hidden="1" customHeight="1" spans="1:105">
      <c r="A233" s="1100">
        <v>46058</v>
      </c>
      <c r="B233" s="895" t="s">
        <v>199</v>
      </c>
      <c r="C233" s="1101" t="s">
        <v>84</v>
      </c>
      <c r="D233" s="805">
        <v>4500193218</v>
      </c>
      <c r="E233" s="1298" t="s">
        <v>1061</v>
      </c>
      <c r="F233" s="805" t="s">
        <v>1062</v>
      </c>
      <c r="G233" s="1102" t="s">
        <v>202</v>
      </c>
      <c r="H233" s="911" t="s">
        <v>203</v>
      </c>
      <c r="I233" s="911">
        <v>9024</v>
      </c>
      <c r="J233" s="911">
        <v>0</v>
      </c>
      <c r="K233" s="911">
        <v>16</v>
      </c>
      <c r="L233" s="1112">
        <f t="shared" si="87"/>
        <v>564</v>
      </c>
      <c r="M233" s="932">
        <v>46106</v>
      </c>
      <c r="N233" s="932">
        <v>46102</v>
      </c>
      <c r="O233" s="1189"/>
      <c r="P233" s="1113"/>
      <c r="Q233" s="285"/>
      <c r="R233" s="1119" t="s">
        <v>968</v>
      </c>
      <c r="S233" s="1119" t="s">
        <v>58</v>
      </c>
      <c r="T233" s="1119" t="s">
        <v>969</v>
      </c>
      <c r="U233" s="946" t="s">
        <v>421</v>
      </c>
      <c r="V233" s="1120" t="s">
        <v>207</v>
      </c>
      <c r="W233" s="1121">
        <v>1.1827</v>
      </c>
      <c r="X233" s="1122">
        <f t="shared" si="88"/>
        <v>10672.6848</v>
      </c>
      <c r="Y233" s="285"/>
      <c r="Z233" s="1102" t="s">
        <v>202</v>
      </c>
      <c r="AA233" s="911"/>
      <c r="AB233" s="911"/>
      <c r="AC233" s="285"/>
      <c r="AD233" s="1130"/>
      <c r="AE233" s="1130">
        <f t="shared" si="89"/>
        <v>-9024</v>
      </c>
      <c r="AF233" s="1131"/>
      <c r="AG233" s="285"/>
      <c r="AH233" s="285"/>
      <c r="AI233" s="285">
        <f t="shared" si="90"/>
        <v>9024</v>
      </c>
      <c r="AJ233" s="968">
        <f t="shared" si="91"/>
        <v>9024</v>
      </c>
      <c r="AK233" s="968"/>
      <c r="AL233" s="968"/>
      <c r="AM233" s="805">
        <f t="shared" si="92"/>
        <v>9024</v>
      </c>
      <c r="AN233" s="805"/>
      <c r="AO233" s="805"/>
      <c r="AP233" s="805"/>
      <c r="AQ233" s="805"/>
      <c r="AR233" s="805"/>
      <c r="AS233" s="805"/>
      <c r="AT233" s="805"/>
      <c r="AU233" s="805"/>
      <c r="AV233" s="805"/>
      <c r="AW233" s="805">
        <f t="shared" si="93"/>
        <v>564</v>
      </c>
      <c r="AX233" s="805"/>
      <c r="AY233" s="805"/>
      <c r="AZ233" s="805"/>
      <c r="BA233" s="805"/>
      <c r="BB233" s="805"/>
      <c r="BC233" s="1101"/>
      <c r="BD233" s="1101"/>
      <c r="BE233" s="1101"/>
      <c r="BF233" s="1101"/>
      <c r="BG233" s="1101"/>
      <c r="BH233" s="805"/>
      <c r="BI233" s="805"/>
      <c r="BJ233" s="805"/>
      <c r="BL233" s="1214"/>
      <c r="BM233" s="1214"/>
      <c r="BN233" s="1214"/>
      <c r="BO233" s="1214"/>
      <c r="BP233" s="1214"/>
      <c r="BQ233" s="1214"/>
      <c r="BT233" s="805">
        <f t="shared" si="94"/>
        <v>564</v>
      </c>
      <c r="BU233" s="805">
        <f t="shared" si="95"/>
        <v>0</v>
      </c>
      <c r="BV233" s="291">
        <f t="shared" si="67"/>
        <v>972621</v>
      </c>
      <c r="BW233" s="1214"/>
      <c r="BX233" s="1214"/>
      <c r="BY233" s="1216"/>
      <c r="BZ233" s="291">
        <f t="shared" si="85"/>
        <v>327379</v>
      </c>
      <c r="CA233" s="1214"/>
      <c r="CF233" s="1219"/>
      <c r="CG233" s="1219"/>
      <c r="CH233" s="1219"/>
      <c r="CI233" s="1219"/>
      <c r="CJ233" s="1219"/>
      <c r="CK233" s="1219"/>
      <c r="CL233" s="1219"/>
      <c r="CM233" s="1219"/>
      <c r="CN233" s="1219"/>
      <c r="CO233" s="1219"/>
      <c r="CP233" s="1219"/>
      <c r="CQ233" s="1219"/>
      <c r="CR233" s="1219"/>
      <c r="CS233" s="1219"/>
      <c r="CT233" s="1219"/>
      <c r="CU233" s="1219"/>
      <c r="CV233" s="1219"/>
      <c r="CW233" s="1219"/>
      <c r="CX233" s="1219"/>
      <c r="CY233" s="1219"/>
      <c r="CZ233" s="1219"/>
      <c r="DA233" s="1219"/>
    </row>
    <row r="234" s="807" customFormat="1" ht="31" hidden="1" customHeight="1" spans="1:105">
      <c r="A234" s="1100">
        <v>46058</v>
      </c>
      <c r="B234" s="895" t="s">
        <v>199</v>
      </c>
      <c r="C234" s="1101" t="s">
        <v>84</v>
      </c>
      <c r="D234" s="805">
        <v>4500193218</v>
      </c>
      <c r="E234" s="1298" t="s">
        <v>1063</v>
      </c>
      <c r="F234" s="805" t="s">
        <v>1064</v>
      </c>
      <c r="G234" s="1102" t="s">
        <v>202</v>
      </c>
      <c r="H234" s="911" t="s">
        <v>203</v>
      </c>
      <c r="I234" s="911">
        <v>4848</v>
      </c>
      <c r="J234" s="911">
        <v>0</v>
      </c>
      <c r="K234" s="911">
        <v>16</v>
      </c>
      <c r="L234" s="1112">
        <f t="shared" si="87"/>
        <v>303</v>
      </c>
      <c r="M234" s="932">
        <v>46106</v>
      </c>
      <c r="N234" s="932">
        <v>46102</v>
      </c>
      <c r="O234" s="1189"/>
      <c r="P234" s="1113"/>
      <c r="Q234" s="285"/>
      <c r="R234" s="1119" t="s">
        <v>968</v>
      </c>
      <c r="S234" s="1119" t="s">
        <v>58</v>
      </c>
      <c r="T234" s="1119" t="s">
        <v>969</v>
      </c>
      <c r="U234" s="946" t="s">
        <v>421</v>
      </c>
      <c r="V234" s="1120" t="s">
        <v>207</v>
      </c>
      <c r="W234" s="1121">
        <v>1.1827</v>
      </c>
      <c r="X234" s="1122">
        <f t="shared" si="88"/>
        <v>5733.7296</v>
      </c>
      <c r="Y234" s="285"/>
      <c r="Z234" s="1102" t="s">
        <v>202</v>
      </c>
      <c r="AA234" s="911"/>
      <c r="AB234" s="911"/>
      <c r="AC234" s="285"/>
      <c r="AD234" s="1130"/>
      <c r="AE234" s="1130">
        <f t="shared" si="89"/>
        <v>-4848</v>
      </c>
      <c r="AF234" s="1131"/>
      <c r="AG234" s="285"/>
      <c r="AH234" s="285"/>
      <c r="AI234" s="285">
        <f t="shared" si="90"/>
        <v>4848</v>
      </c>
      <c r="AJ234" s="968">
        <f t="shared" si="91"/>
        <v>4848</v>
      </c>
      <c r="AK234" s="968"/>
      <c r="AL234" s="968"/>
      <c r="AM234" s="805">
        <f t="shared" si="92"/>
        <v>4848</v>
      </c>
      <c r="AN234" s="805"/>
      <c r="AO234" s="805"/>
      <c r="AP234" s="805"/>
      <c r="AQ234" s="805"/>
      <c r="AR234" s="805"/>
      <c r="AS234" s="805"/>
      <c r="AT234" s="805"/>
      <c r="AU234" s="805"/>
      <c r="AV234" s="805"/>
      <c r="AW234" s="805">
        <f t="shared" si="93"/>
        <v>303</v>
      </c>
      <c r="AX234" s="805"/>
      <c r="AY234" s="805"/>
      <c r="AZ234" s="805"/>
      <c r="BA234" s="805"/>
      <c r="BB234" s="805"/>
      <c r="BC234" s="1101"/>
      <c r="BD234" s="1101"/>
      <c r="BE234" s="1101"/>
      <c r="BF234" s="1101"/>
      <c r="BG234" s="1101"/>
      <c r="BH234" s="805"/>
      <c r="BI234" s="805"/>
      <c r="BJ234" s="805"/>
      <c r="BL234" s="1214"/>
      <c r="BM234" s="1214"/>
      <c r="BN234" s="1214"/>
      <c r="BO234" s="1214"/>
      <c r="BP234" s="1214"/>
      <c r="BQ234" s="1214"/>
      <c r="BT234" s="805">
        <f t="shared" si="94"/>
        <v>303</v>
      </c>
      <c r="BU234" s="805">
        <f t="shared" si="95"/>
        <v>0</v>
      </c>
      <c r="BV234" s="291">
        <f t="shared" si="67"/>
        <v>977469</v>
      </c>
      <c r="BW234" s="1214"/>
      <c r="BX234" s="1214"/>
      <c r="BY234" s="1216"/>
      <c r="BZ234" s="291">
        <f t="shared" si="85"/>
        <v>322531</v>
      </c>
      <c r="CA234" s="1214"/>
      <c r="CF234" s="1219"/>
      <c r="CG234" s="1219"/>
      <c r="CH234" s="1219"/>
      <c r="CI234" s="1219"/>
      <c r="CJ234" s="1219"/>
      <c r="CK234" s="1219"/>
      <c r="CL234" s="1219"/>
      <c r="CM234" s="1219"/>
      <c r="CN234" s="1219"/>
      <c r="CO234" s="1219"/>
      <c r="CP234" s="1219"/>
      <c r="CQ234" s="1219"/>
      <c r="CR234" s="1219"/>
      <c r="CS234" s="1219"/>
      <c r="CT234" s="1219"/>
      <c r="CU234" s="1219"/>
      <c r="CV234" s="1219"/>
      <c r="CW234" s="1219"/>
      <c r="CX234" s="1219"/>
      <c r="CY234" s="1219"/>
      <c r="CZ234" s="1219"/>
      <c r="DA234" s="1219"/>
    </row>
    <row r="235" s="807" customFormat="1" ht="31" hidden="1" customHeight="1" spans="1:105">
      <c r="A235" s="1100">
        <v>46058</v>
      </c>
      <c r="B235" s="895" t="s">
        <v>199</v>
      </c>
      <c r="C235" s="1101" t="s">
        <v>84</v>
      </c>
      <c r="D235" s="805">
        <v>4500193218</v>
      </c>
      <c r="E235" s="1298" t="s">
        <v>1065</v>
      </c>
      <c r="F235" s="805" t="s">
        <v>1066</v>
      </c>
      <c r="G235" s="1102" t="s">
        <v>202</v>
      </c>
      <c r="H235" s="911" t="s">
        <v>203</v>
      </c>
      <c r="I235" s="911">
        <v>11968</v>
      </c>
      <c r="J235" s="911">
        <v>0</v>
      </c>
      <c r="K235" s="911">
        <v>16</v>
      </c>
      <c r="L235" s="1112">
        <f t="shared" si="87"/>
        <v>748</v>
      </c>
      <c r="M235" s="932">
        <v>46106</v>
      </c>
      <c r="N235" s="932">
        <v>46102</v>
      </c>
      <c r="O235" s="1189"/>
      <c r="P235" s="1113"/>
      <c r="Q235" s="285"/>
      <c r="R235" s="1119" t="s">
        <v>968</v>
      </c>
      <c r="S235" s="1119" t="s">
        <v>58</v>
      </c>
      <c r="T235" s="1119" t="s">
        <v>969</v>
      </c>
      <c r="U235" s="946" t="s">
        <v>421</v>
      </c>
      <c r="V235" s="1120" t="s">
        <v>207</v>
      </c>
      <c r="W235" s="1121">
        <v>1.1827</v>
      </c>
      <c r="X235" s="1122">
        <f t="shared" si="88"/>
        <v>14154.5536</v>
      </c>
      <c r="Y235" s="285"/>
      <c r="Z235" s="1102" t="s">
        <v>202</v>
      </c>
      <c r="AA235" s="911"/>
      <c r="AB235" s="911"/>
      <c r="AC235" s="285"/>
      <c r="AD235" s="1130"/>
      <c r="AE235" s="1130">
        <f t="shared" si="89"/>
        <v>-11968</v>
      </c>
      <c r="AF235" s="1131"/>
      <c r="AG235" s="285"/>
      <c r="AH235" s="285"/>
      <c r="AI235" s="285">
        <f t="shared" si="90"/>
        <v>11968</v>
      </c>
      <c r="AJ235" s="968">
        <f t="shared" si="91"/>
        <v>11968</v>
      </c>
      <c r="AK235" s="968"/>
      <c r="AL235" s="968"/>
      <c r="AM235" s="805">
        <f t="shared" si="92"/>
        <v>11968</v>
      </c>
      <c r="AN235" s="805"/>
      <c r="AO235" s="805"/>
      <c r="AP235" s="805"/>
      <c r="AQ235" s="805"/>
      <c r="AR235" s="805"/>
      <c r="AS235" s="805"/>
      <c r="AT235" s="805"/>
      <c r="AU235" s="805"/>
      <c r="AV235" s="805"/>
      <c r="AW235" s="805">
        <f t="shared" si="93"/>
        <v>748</v>
      </c>
      <c r="AX235" s="805"/>
      <c r="AY235" s="805"/>
      <c r="AZ235" s="805"/>
      <c r="BA235" s="805"/>
      <c r="BB235" s="805"/>
      <c r="BC235" s="1101"/>
      <c r="BD235" s="1101"/>
      <c r="BE235" s="1101"/>
      <c r="BF235" s="1101"/>
      <c r="BG235" s="1101"/>
      <c r="BH235" s="805"/>
      <c r="BI235" s="805"/>
      <c r="BJ235" s="805"/>
      <c r="BL235" s="1214"/>
      <c r="BM235" s="1214"/>
      <c r="BN235" s="1214"/>
      <c r="BO235" s="1214"/>
      <c r="BP235" s="1214"/>
      <c r="BQ235" s="1214"/>
      <c r="BT235" s="805">
        <f t="shared" si="94"/>
        <v>748</v>
      </c>
      <c r="BU235" s="805">
        <f t="shared" si="95"/>
        <v>0</v>
      </c>
      <c r="BV235" s="291">
        <f t="shared" si="67"/>
        <v>989437</v>
      </c>
      <c r="BW235" s="1214"/>
      <c r="BX235" s="1214"/>
      <c r="BY235" s="1216"/>
      <c r="BZ235" s="291">
        <f t="shared" si="85"/>
        <v>310563</v>
      </c>
      <c r="CA235" s="1214"/>
      <c r="CF235" s="1219"/>
      <c r="CG235" s="1219"/>
      <c r="CH235" s="1219"/>
      <c r="CI235" s="1219"/>
      <c r="CJ235" s="1219"/>
      <c r="CK235" s="1219"/>
      <c r="CL235" s="1219"/>
      <c r="CM235" s="1219"/>
      <c r="CN235" s="1219"/>
      <c r="CO235" s="1219"/>
      <c r="CP235" s="1219"/>
      <c r="CQ235" s="1219"/>
      <c r="CR235" s="1219"/>
      <c r="CS235" s="1219"/>
      <c r="CT235" s="1219"/>
      <c r="CU235" s="1219"/>
      <c r="CV235" s="1219"/>
      <c r="CW235" s="1219"/>
      <c r="CX235" s="1219"/>
      <c r="CY235" s="1219"/>
      <c r="CZ235" s="1219"/>
      <c r="DA235" s="1219"/>
    </row>
    <row r="236" s="805" customFormat="1" ht="31" customHeight="1" spans="1:105">
      <c r="A236" s="1100">
        <v>46052</v>
      </c>
      <c r="B236" s="895" t="s">
        <v>148</v>
      </c>
      <c r="C236" s="1101" t="s">
        <v>149</v>
      </c>
      <c r="D236" s="805">
        <v>4500192690</v>
      </c>
      <c r="E236" s="285">
        <v>21521643</v>
      </c>
      <c r="F236" s="805" t="s">
        <v>1067</v>
      </c>
      <c r="G236" s="1102" t="s">
        <v>151</v>
      </c>
      <c r="H236" s="911" t="s">
        <v>152</v>
      </c>
      <c r="I236" s="1194">
        <v>1508</v>
      </c>
      <c r="J236" s="911">
        <v>0</v>
      </c>
      <c r="K236" s="911">
        <v>13</v>
      </c>
      <c r="L236" s="1112">
        <f t="shared" si="87"/>
        <v>116</v>
      </c>
      <c r="M236" s="932">
        <v>46111</v>
      </c>
      <c r="N236" s="932">
        <v>46107</v>
      </c>
      <c r="O236" s="1189"/>
      <c r="P236" s="1113"/>
      <c r="Q236" s="285"/>
      <c r="R236" s="1119" t="s">
        <v>49</v>
      </c>
      <c r="S236" s="1119" t="s">
        <v>48</v>
      </c>
      <c r="T236" s="1119" t="s">
        <v>49</v>
      </c>
      <c r="U236" s="1021" t="s">
        <v>1068</v>
      </c>
      <c r="V236" s="1120" t="s">
        <v>997</v>
      </c>
      <c r="W236" s="1121">
        <v>1.8728</v>
      </c>
      <c r="X236" s="1122">
        <f t="shared" si="88"/>
        <v>2824.1824</v>
      </c>
      <c r="Y236" s="285"/>
      <c r="Z236" s="1102" t="s">
        <v>151</v>
      </c>
      <c r="AA236" s="911" t="s">
        <v>53</v>
      </c>
      <c r="AB236" s="911"/>
      <c r="AC236" s="285"/>
      <c r="AD236" s="1130"/>
      <c r="AE236" s="1130">
        <f t="shared" si="89"/>
        <v>-1508</v>
      </c>
      <c r="AF236" s="1131"/>
      <c r="AG236" s="285"/>
      <c r="AH236" s="285"/>
      <c r="AI236" s="285">
        <f t="shared" ref="AI236:AI245" si="96">I236</f>
        <v>1508</v>
      </c>
      <c r="AJ236" s="968">
        <f t="shared" si="91"/>
        <v>1508</v>
      </c>
      <c r="AK236" s="968"/>
      <c r="AL236" s="968"/>
      <c r="AM236" s="805">
        <f t="shared" si="92"/>
        <v>1508</v>
      </c>
      <c r="AP236" s="805">
        <f>I236/13</f>
        <v>116</v>
      </c>
      <c r="BC236" s="1101"/>
      <c r="BD236" s="1101"/>
      <c r="BE236" s="1101"/>
      <c r="BF236" s="1101"/>
      <c r="BG236" s="1101"/>
      <c r="BL236" s="291"/>
      <c r="BM236" s="291"/>
      <c r="BN236" s="291"/>
      <c r="BO236" s="291"/>
      <c r="BP236" s="291"/>
      <c r="BQ236" s="291"/>
      <c r="BT236" s="805">
        <f t="shared" si="94"/>
        <v>0</v>
      </c>
      <c r="BU236" s="805">
        <f t="shared" si="95"/>
        <v>0</v>
      </c>
      <c r="BV236" s="291">
        <f t="shared" si="67"/>
        <v>990945</v>
      </c>
      <c r="BW236" s="291"/>
      <c r="BX236" s="291"/>
      <c r="BY236" s="975"/>
      <c r="BZ236" s="291">
        <f t="shared" si="85"/>
        <v>309055</v>
      </c>
      <c r="CA236" s="291"/>
      <c r="CF236" s="1142"/>
      <c r="CG236" s="1142"/>
      <c r="CH236" s="1142"/>
      <c r="CI236" s="1142"/>
      <c r="CJ236" s="1142"/>
      <c r="CK236" s="1142"/>
      <c r="CL236" s="1142"/>
      <c r="CM236" s="1142"/>
      <c r="CN236" s="1142"/>
      <c r="CO236" s="1142"/>
      <c r="CP236" s="1142"/>
      <c r="CQ236" s="1142"/>
      <c r="CR236" s="1142"/>
      <c r="CS236" s="1142"/>
      <c r="CT236" s="1142"/>
      <c r="CU236" s="1142"/>
      <c r="CV236" s="1142"/>
      <c r="CW236" s="1142"/>
      <c r="CX236" s="1142"/>
      <c r="CY236" s="1142"/>
      <c r="CZ236" s="1142"/>
      <c r="DA236" s="1142"/>
    </row>
    <row r="237" s="807" customFormat="1" ht="31" hidden="1" customHeight="1" spans="1:105">
      <c r="A237" s="1100">
        <v>46055</v>
      </c>
      <c r="B237" s="895" t="s">
        <v>1069</v>
      </c>
      <c r="C237" s="1101" t="s">
        <v>716</v>
      </c>
      <c r="D237" s="895">
        <v>4500191753</v>
      </c>
      <c r="E237" s="285"/>
      <c r="F237" s="895" t="s">
        <v>1070</v>
      </c>
      <c r="G237" s="1102" t="s">
        <v>187</v>
      </c>
      <c r="H237" s="911" t="s">
        <v>484</v>
      </c>
      <c r="I237" s="911">
        <v>1500</v>
      </c>
      <c r="J237" s="911">
        <v>0</v>
      </c>
      <c r="K237" s="911">
        <v>25</v>
      </c>
      <c r="L237" s="1112">
        <f t="shared" si="87"/>
        <v>60</v>
      </c>
      <c r="M237" s="932">
        <v>46111</v>
      </c>
      <c r="N237" s="932">
        <v>46107</v>
      </c>
      <c r="O237" s="285"/>
      <c r="P237" s="1113"/>
      <c r="Q237" s="285"/>
      <c r="R237" s="1119" t="s">
        <v>49</v>
      </c>
      <c r="S237" s="1119" t="s">
        <v>58</v>
      </c>
      <c r="T237" s="1119" t="s">
        <v>1071</v>
      </c>
      <c r="U237" s="946" t="s">
        <v>1072</v>
      </c>
      <c r="V237" s="1120" t="s">
        <v>1073</v>
      </c>
      <c r="W237" s="1121">
        <v>1.933</v>
      </c>
      <c r="X237" s="1122">
        <f>I237*W237</f>
        <v>2899.5</v>
      </c>
      <c r="Y237" s="285"/>
      <c r="Z237" s="1102" t="s">
        <v>489</v>
      </c>
      <c r="AA237" s="911"/>
      <c r="AB237" s="911"/>
      <c r="AC237" s="285"/>
      <c r="AD237" s="1130"/>
      <c r="AE237" s="1130">
        <f t="shared" ref="AE237:AE244" si="97">AD237-I237</f>
        <v>-1500</v>
      </c>
      <c r="AF237" s="1131"/>
      <c r="AG237" s="285"/>
      <c r="AH237" s="285"/>
      <c r="AI237" s="285">
        <f t="shared" si="96"/>
        <v>1500</v>
      </c>
      <c r="AJ237" s="968"/>
      <c r="AK237" s="805"/>
      <c r="AL237" s="911">
        <f>I237</f>
        <v>1500</v>
      </c>
      <c r="AM237" s="805">
        <f t="shared" si="92"/>
        <v>1500</v>
      </c>
      <c r="AN237" s="805"/>
      <c r="AO237" s="805"/>
      <c r="AP237" s="805"/>
      <c r="AQ237" s="805"/>
      <c r="AR237" s="805"/>
      <c r="AS237" s="805">
        <f>I237/25</f>
        <v>60</v>
      </c>
      <c r="AT237" s="805"/>
      <c r="AU237" s="805"/>
      <c r="AV237" s="805"/>
      <c r="AW237" s="805"/>
      <c r="AX237" s="805"/>
      <c r="AY237" s="805"/>
      <c r="AZ237" s="805"/>
      <c r="BA237" s="805"/>
      <c r="BB237" s="805"/>
      <c r="BC237" s="1101"/>
      <c r="BD237" s="1101"/>
      <c r="BE237" s="1101"/>
      <c r="BF237" s="1101"/>
      <c r="BG237" s="1101"/>
      <c r="BH237" s="805"/>
      <c r="BI237" s="805"/>
      <c r="BJ237" s="805"/>
      <c r="BL237" s="1214"/>
      <c r="BM237" s="1214"/>
      <c r="BN237" s="1214"/>
      <c r="BO237" s="1214"/>
      <c r="BP237" s="1214"/>
      <c r="BQ237" s="1214"/>
      <c r="BT237" s="807">
        <f t="shared" si="94"/>
        <v>60</v>
      </c>
      <c r="BU237" s="807">
        <f t="shared" si="95"/>
        <v>0</v>
      </c>
      <c r="BV237" s="1214">
        <f t="shared" si="67"/>
        <v>992445</v>
      </c>
      <c r="BW237" s="1214"/>
      <c r="BX237" s="1214"/>
      <c r="BY237" s="1214"/>
      <c r="BZ237" s="1214">
        <f t="shared" si="85"/>
        <v>307555</v>
      </c>
      <c r="CA237" s="1214"/>
      <c r="CF237" s="1219"/>
      <c r="CG237" s="1219"/>
      <c r="CH237" s="1219"/>
      <c r="CI237" s="1219"/>
      <c r="CJ237" s="1219"/>
      <c r="CK237" s="1219"/>
      <c r="CL237" s="1219"/>
      <c r="CM237" s="1219"/>
      <c r="CN237" s="1219"/>
      <c r="CO237" s="1219"/>
      <c r="CP237" s="1219"/>
      <c r="CQ237" s="1219"/>
      <c r="CR237" s="1219"/>
      <c r="CS237" s="1219"/>
      <c r="CT237" s="1219"/>
      <c r="CU237" s="1219"/>
      <c r="CV237" s="1219"/>
      <c r="CW237" s="1219"/>
      <c r="CX237" s="1219"/>
      <c r="CY237" s="1219"/>
      <c r="CZ237" s="1219"/>
      <c r="DA237" s="1219"/>
    </row>
    <row r="238" s="807" customFormat="1" ht="31" hidden="1" customHeight="1" spans="1:105">
      <c r="A238" s="1100">
        <v>46055</v>
      </c>
      <c r="B238" s="895" t="s">
        <v>199</v>
      </c>
      <c r="C238" s="1101" t="s">
        <v>84</v>
      </c>
      <c r="D238" s="805">
        <v>4500192878</v>
      </c>
      <c r="E238" s="1298" t="s">
        <v>1074</v>
      </c>
      <c r="F238" s="805" t="s">
        <v>1075</v>
      </c>
      <c r="G238" s="1102" t="s">
        <v>202</v>
      </c>
      <c r="H238" s="911" t="s">
        <v>203</v>
      </c>
      <c r="I238" s="911">
        <v>960</v>
      </c>
      <c r="J238" s="911">
        <v>0</v>
      </c>
      <c r="K238" s="911">
        <v>16</v>
      </c>
      <c r="L238" s="1112">
        <f t="shared" si="87"/>
        <v>60</v>
      </c>
      <c r="M238" s="932">
        <v>46112</v>
      </c>
      <c r="N238" s="932">
        <v>46108</v>
      </c>
      <c r="O238" s="1189"/>
      <c r="P238" s="1113"/>
      <c r="Q238" s="285"/>
      <c r="R238" s="1119" t="s">
        <v>968</v>
      </c>
      <c r="S238" s="1119" t="s">
        <v>58</v>
      </c>
      <c r="T238" s="1119" t="s">
        <v>969</v>
      </c>
      <c r="U238" s="946" t="s">
        <v>970</v>
      </c>
      <c r="V238" s="1120" t="s">
        <v>207</v>
      </c>
      <c r="W238" s="1121">
        <v>1.2079</v>
      </c>
      <c r="X238" s="1122">
        <f t="shared" ref="X238:X248" si="98">W238*I238</f>
        <v>1159.584</v>
      </c>
      <c r="Y238" s="285"/>
      <c r="Z238" s="1102" t="s">
        <v>202</v>
      </c>
      <c r="AA238" s="911"/>
      <c r="AB238" s="911"/>
      <c r="AC238" s="285"/>
      <c r="AD238" s="1130"/>
      <c r="AE238" s="1130">
        <f t="shared" si="97"/>
        <v>-960</v>
      </c>
      <c r="AF238" s="1131"/>
      <c r="AG238" s="285"/>
      <c r="AH238" s="285"/>
      <c r="AI238" s="285">
        <f t="shared" si="96"/>
        <v>960</v>
      </c>
      <c r="AJ238" s="968">
        <f t="shared" ref="AJ238:AJ245" si="99">I238</f>
        <v>960</v>
      </c>
      <c r="AK238" s="968"/>
      <c r="AL238" s="968"/>
      <c r="AM238" s="805">
        <f t="shared" si="92"/>
        <v>960</v>
      </c>
      <c r="AN238" s="805"/>
      <c r="AO238" s="805"/>
      <c r="AP238" s="805"/>
      <c r="AQ238" s="805"/>
      <c r="AR238" s="805"/>
      <c r="AS238" s="805"/>
      <c r="AT238" s="805"/>
      <c r="AU238" s="805"/>
      <c r="AV238" s="805"/>
      <c r="AW238" s="805">
        <f>I238/16</f>
        <v>60</v>
      </c>
      <c r="AX238" s="805"/>
      <c r="AY238" s="805"/>
      <c r="AZ238" s="805"/>
      <c r="BA238" s="805"/>
      <c r="BB238" s="805"/>
      <c r="BC238" s="1101"/>
      <c r="BD238" s="1101"/>
      <c r="BE238" s="1101"/>
      <c r="BF238" s="1101"/>
      <c r="BG238" s="1101"/>
      <c r="BH238" s="805"/>
      <c r="BI238" s="805"/>
      <c r="BJ238" s="805"/>
      <c r="BL238" s="1214"/>
      <c r="BM238" s="1214"/>
      <c r="BN238" s="1214"/>
      <c r="BO238" s="1214"/>
      <c r="BP238" s="1214"/>
      <c r="BQ238" s="1214"/>
      <c r="BT238" s="805">
        <f t="shared" si="94"/>
        <v>60</v>
      </c>
      <c r="BU238" s="805">
        <f t="shared" si="95"/>
        <v>0</v>
      </c>
      <c r="BV238" s="291">
        <f t="shared" si="67"/>
        <v>993405</v>
      </c>
      <c r="BW238" s="1214"/>
      <c r="BX238" s="1214"/>
      <c r="BY238" s="1216"/>
      <c r="BZ238" s="291">
        <f t="shared" si="85"/>
        <v>306595</v>
      </c>
      <c r="CA238" s="1214"/>
      <c r="CF238" s="1219"/>
      <c r="CG238" s="1219"/>
      <c r="CH238" s="1219"/>
      <c r="CI238" s="1219"/>
      <c r="CJ238" s="1219"/>
      <c r="CK238" s="1219"/>
      <c r="CL238" s="1219"/>
      <c r="CM238" s="1219"/>
      <c r="CN238" s="1219"/>
      <c r="CO238" s="1219"/>
      <c r="CP238" s="1219"/>
      <c r="CQ238" s="1219"/>
      <c r="CR238" s="1219"/>
      <c r="CS238" s="1219"/>
      <c r="CT238" s="1219"/>
      <c r="CU238" s="1219"/>
      <c r="CV238" s="1219"/>
      <c r="CW238" s="1219"/>
      <c r="CX238" s="1219"/>
      <c r="CY238" s="1219"/>
      <c r="CZ238" s="1219"/>
      <c r="DA238" s="1219"/>
    </row>
    <row r="239" s="807" customFormat="1" ht="31" hidden="1" customHeight="1" spans="1:105">
      <c r="A239" s="1100">
        <v>46055</v>
      </c>
      <c r="B239" s="895" t="s">
        <v>199</v>
      </c>
      <c r="C239" s="1101" t="s">
        <v>84</v>
      </c>
      <c r="D239" s="805">
        <v>4500192878</v>
      </c>
      <c r="E239" s="1298" t="s">
        <v>1076</v>
      </c>
      <c r="F239" s="805" t="s">
        <v>1077</v>
      </c>
      <c r="G239" s="1102" t="s">
        <v>202</v>
      </c>
      <c r="H239" s="911" t="s">
        <v>203</v>
      </c>
      <c r="I239" s="911">
        <v>960</v>
      </c>
      <c r="J239" s="911">
        <v>0</v>
      </c>
      <c r="K239" s="911">
        <v>16</v>
      </c>
      <c r="L239" s="1112">
        <f t="shared" si="87"/>
        <v>60</v>
      </c>
      <c r="M239" s="932">
        <v>46112</v>
      </c>
      <c r="N239" s="932">
        <v>46108</v>
      </c>
      <c r="O239" s="1189"/>
      <c r="P239" s="1113"/>
      <c r="Q239" s="285"/>
      <c r="R239" s="1119" t="s">
        <v>968</v>
      </c>
      <c r="S239" s="1119" t="s">
        <v>58</v>
      </c>
      <c r="T239" s="1119" t="s">
        <v>969</v>
      </c>
      <c r="U239" s="946" t="s">
        <v>970</v>
      </c>
      <c r="V239" s="1120" t="s">
        <v>207</v>
      </c>
      <c r="W239" s="1121">
        <v>1.2079</v>
      </c>
      <c r="X239" s="1122">
        <f t="shared" si="98"/>
        <v>1159.584</v>
      </c>
      <c r="Y239" s="285"/>
      <c r="Z239" s="1102" t="s">
        <v>202</v>
      </c>
      <c r="AA239" s="911"/>
      <c r="AB239" s="911"/>
      <c r="AC239" s="285"/>
      <c r="AD239" s="1130"/>
      <c r="AE239" s="1130">
        <f t="shared" si="97"/>
        <v>-960</v>
      </c>
      <c r="AF239" s="1131"/>
      <c r="AG239" s="285"/>
      <c r="AH239" s="285"/>
      <c r="AI239" s="285">
        <f t="shared" si="96"/>
        <v>960</v>
      </c>
      <c r="AJ239" s="968">
        <f t="shared" si="99"/>
        <v>960</v>
      </c>
      <c r="AK239" s="968"/>
      <c r="AL239" s="968"/>
      <c r="AM239" s="805">
        <f t="shared" si="92"/>
        <v>960</v>
      </c>
      <c r="AN239" s="805"/>
      <c r="AO239" s="805"/>
      <c r="AP239" s="805"/>
      <c r="AQ239" s="805"/>
      <c r="AR239" s="805"/>
      <c r="AS239" s="805"/>
      <c r="AT239" s="805"/>
      <c r="AU239" s="805"/>
      <c r="AV239" s="805"/>
      <c r="AW239" s="805">
        <f t="shared" ref="AW236:AW242" si="100">I239/16</f>
        <v>60</v>
      </c>
      <c r="AX239" s="805"/>
      <c r="AY239" s="805"/>
      <c r="AZ239" s="805"/>
      <c r="BA239" s="805"/>
      <c r="BB239" s="805"/>
      <c r="BC239" s="1101"/>
      <c r="BD239" s="1101"/>
      <c r="BE239" s="1101"/>
      <c r="BF239" s="1101"/>
      <c r="BG239" s="1101"/>
      <c r="BH239" s="805"/>
      <c r="BI239" s="805"/>
      <c r="BJ239" s="805"/>
      <c r="BL239" s="1214"/>
      <c r="BM239" s="1214"/>
      <c r="BN239" s="1214"/>
      <c r="BO239" s="1214"/>
      <c r="BP239" s="1214"/>
      <c r="BQ239" s="1214"/>
      <c r="BT239" s="805">
        <f t="shared" si="94"/>
        <v>60</v>
      </c>
      <c r="BU239" s="805">
        <f t="shared" si="95"/>
        <v>0</v>
      </c>
      <c r="BV239" s="291">
        <f t="shared" si="67"/>
        <v>994365</v>
      </c>
      <c r="BW239" s="1214"/>
      <c r="BX239" s="1214"/>
      <c r="BY239" s="1216"/>
      <c r="BZ239" s="291">
        <f t="shared" si="85"/>
        <v>305635</v>
      </c>
      <c r="CA239" s="1214"/>
      <c r="CF239" s="1219"/>
      <c r="CG239" s="1219"/>
      <c r="CH239" s="1219"/>
      <c r="CI239" s="1219"/>
      <c r="CJ239" s="1219"/>
      <c r="CK239" s="1219"/>
      <c r="CL239" s="1219"/>
      <c r="CM239" s="1219"/>
      <c r="CN239" s="1219"/>
      <c r="CO239" s="1219"/>
      <c r="CP239" s="1219"/>
      <c r="CQ239" s="1219"/>
      <c r="CR239" s="1219"/>
      <c r="CS239" s="1219"/>
      <c r="CT239" s="1219"/>
      <c r="CU239" s="1219"/>
      <c r="CV239" s="1219"/>
      <c r="CW239" s="1219"/>
      <c r="CX239" s="1219"/>
      <c r="CY239" s="1219"/>
      <c r="CZ239" s="1219"/>
      <c r="DA239" s="1219"/>
    </row>
    <row r="240" s="807" customFormat="1" ht="31" hidden="1" customHeight="1" spans="1:105">
      <c r="A240" s="1100">
        <v>46055</v>
      </c>
      <c r="B240" s="895" t="s">
        <v>199</v>
      </c>
      <c r="C240" s="1101" t="s">
        <v>84</v>
      </c>
      <c r="D240" s="805">
        <v>4500192878</v>
      </c>
      <c r="E240" s="1298" t="s">
        <v>1078</v>
      </c>
      <c r="F240" s="805" t="s">
        <v>1079</v>
      </c>
      <c r="G240" s="1102" t="s">
        <v>202</v>
      </c>
      <c r="H240" s="911" t="s">
        <v>203</v>
      </c>
      <c r="I240" s="911">
        <v>960</v>
      </c>
      <c r="J240" s="911">
        <v>0</v>
      </c>
      <c r="K240" s="911">
        <v>16</v>
      </c>
      <c r="L240" s="1112">
        <f t="shared" si="87"/>
        <v>60</v>
      </c>
      <c r="M240" s="932">
        <v>46112</v>
      </c>
      <c r="N240" s="932">
        <v>46108</v>
      </c>
      <c r="O240" s="1189"/>
      <c r="P240" s="1113"/>
      <c r="Q240" s="285"/>
      <c r="R240" s="1119" t="s">
        <v>968</v>
      </c>
      <c r="S240" s="1119" t="s">
        <v>58</v>
      </c>
      <c r="T240" s="1119" t="s">
        <v>969</v>
      </c>
      <c r="U240" s="946" t="s">
        <v>970</v>
      </c>
      <c r="V240" s="1120" t="s">
        <v>207</v>
      </c>
      <c r="W240" s="1121">
        <v>1.2079</v>
      </c>
      <c r="X240" s="1122">
        <f t="shared" si="98"/>
        <v>1159.584</v>
      </c>
      <c r="Y240" s="285"/>
      <c r="Z240" s="1102" t="s">
        <v>202</v>
      </c>
      <c r="AA240" s="911"/>
      <c r="AB240" s="911"/>
      <c r="AC240" s="285"/>
      <c r="AD240" s="1130"/>
      <c r="AE240" s="1130">
        <f t="shared" si="97"/>
        <v>-960</v>
      </c>
      <c r="AF240" s="1131"/>
      <c r="AG240" s="285"/>
      <c r="AH240" s="285"/>
      <c r="AI240" s="285">
        <f t="shared" si="96"/>
        <v>960</v>
      </c>
      <c r="AJ240" s="968">
        <f t="shared" si="99"/>
        <v>960</v>
      </c>
      <c r="AK240" s="968"/>
      <c r="AL240" s="968"/>
      <c r="AM240" s="805">
        <f t="shared" si="92"/>
        <v>960</v>
      </c>
      <c r="AN240" s="805"/>
      <c r="AO240" s="805"/>
      <c r="AP240" s="805"/>
      <c r="AQ240" s="805"/>
      <c r="AR240" s="805"/>
      <c r="AS240" s="805"/>
      <c r="AT240" s="805"/>
      <c r="AU240" s="805"/>
      <c r="AV240" s="805"/>
      <c r="AW240" s="805">
        <f t="shared" si="100"/>
        <v>60</v>
      </c>
      <c r="AX240" s="805"/>
      <c r="AY240" s="805"/>
      <c r="AZ240" s="805"/>
      <c r="BA240" s="805"/>
      <c r="BB240" s="805"/>
      <c r="BC240" s="1101"/>
      <c r="BD240" s="1101"/>
      <c r="BE240" s="1101"/>
      <c r="BF240" s="1101"/>
      <c r="BG240" s="1101"/>
      <c r="BH240" s="805"/>
      <c r="BI240" s="805"/>
      <c r="BJ240" s="805"/>
      <c r="BL240" s="1214"/>
      <c r="BM240" s="1214"/>
      <c r="BN240" s="1214"/>
      <c r="BO240" s="1214"/>
      <c r="BP240" s="1214"/>
      <c r="BQ240" s="1214"/>
      <c r="BT240" s="805">
        <f t="shared" si="94"/>
        <v>60</v>
      </c>
      <c r="BU240" s="805">
        <f t="shared" si="95"/>
        <v>0</v>
      </c>
      <c r="BV240" s="291">
        <f t="shared" si="67"/>
        <v>995325</v>
      </c>
      <c r="BW240" s="1214"/>
      <c r="BX240" s="1214"/>
      <c r="BY240" s="1216"/>
      <c r="BZ240" s="291">
        <f t="shared" si="85"/>
        <v>304675</v>
      </c>
      <c r="CA240" s="1214"/>
      <c r="CF240" s="1219"/>
      <c r="CG240" s="1219"/>
      <c r="CH240" s="1219"/>
      <c r="CI240" s="1219"/>
      <c r="CJ240" s="1219"/>
      <c r="CK240" s="1219"/>
      <c r="CL240" s="1219"/>
      <c r="CM240" s="1219"/>
      <c r="CN240" s="1219"/>
      <c r="CO240" s="1219"/>
      <c r="CP240" s="1219"/>
      <c r="CQ240" s="1219"/>
      <c r="CR240" s="1219"/>
      <c r="CS240" s="1219"/>
      <c r="CT240" s="1219"/>
      <c r="CU240" s="1219"/>
      <c r="CV240" s="1219"/>
      <c r="CW240" s="1219"/>
      <c r="CX240" s="1219"/>
      <c r="CY240" s="1219"/>
      <c r="CZ240" s="1219"/>
      <c r="DA240" s="1219"/>
    </row>
    <row r="241" s="807" customFormat="1" ht="31" hidden="1" customHeight="1" spans="1:105">
      <c r="A241" s="1100">
        <v>46055</v>
      </c>
      <c r="B241" s="895" t="s">
        <v>199</v>
      </c>
      <c r="C241" s="1101" t="s">
        <v>84</v>
      </c>
      <c r="D241" s="805">
        <v>4500192878</v>
      </c>
      <c r="E241" s="285">
        <v>9038210483</v>
      </c>
      <c r="F241" s="805" t="s">
        <v>1080</v>
      </c>
      <c r="G241" s="1102" t="s">
        <v>202</v>
      </c>
      <c r="H241" s="911" t="s">
        <v>203</v>
      </c>
      <c r="I241" s="911">
        <v>960</v>
      </c>
      <c r="J241" s="911">
        <v>0</v>
      </c>
      <c r="K241" s="911">
        <v>16</v>
      </c>
      <c r="L241" s="1112">
        <f t="shared" si="87"/>
        <v>60</v>
      </c>
      <c r="M241" s="932">
        <v>46112</v>
      </c>
      <c r="N241" s="932">
        <v>46108</v>
      </c>
      <c r="O241" s="1189"/>
      <c r="P241" s="1113"/>
      <c r="Q241" s="285"/>
      <c r="R241" s="1119" t="s">
        <v>968</v>
      </c>
      <c r="S241" s="1119" t="s">
        <v>58</v>
      </c>
      <c r="T241" s="1119" t="s">
        <v>969</v>
      </c>
      <c r="U241" s="946" t="s">
        <v>970</v>
      </c>
      <c r="V241" s="1120" t="s">
        <v>207</v>
      </c>
      <c r="W241" s="1121">
        <v>1.2079</v>
      </c>
      <c r="X241" s="1122">
        <f t="shared" si="98"/>
        <v>1159.584</v>
      </c>
      <c r="Y241" s="285"/>
      <c r="Z241" s="1102" t="s">
        <v>202</v>
      </c>
      <c r="AA241" s="911"/>
      <c r="AB241" s="911"/>
      <c r="AC241" s="285"/>
      <c r="AD241" s="1130"/>
      <c r="AE241" s="1130">
        <f t="shared" si="97"/>
        <v>-960</v>
      </c>
      <c r="AF241" s="1131"/>
      <c r="AG241" s="285"/>
      <c r="AH241" s="285"/>
      <c r="AI241" s="285">
        <f t="shared" si="96"/>
        <v>960</v>
      </c>
      <c r="AJ241" s="968">
        <f t="shared" si="99"/>
        <v>960</v>
      </c>
      <c r="AK241" s="968"/>
      <c r="AL241" s="968"/>
      <c r="AM241" s="805">
        <f t="shared" si="92"/>
        <v>960</v>
      </c>
      <c r="AN241" s="805"/>
      <c r="AO241" s="805"/>
      <c r="AP241" s="805"/>
      <c r="AQ241" s="805"/>
      <c r="AR241" s="805"/>
      <c r="AS241" s="805"/>
      <c r="AT241" s="805"/>
      <c r="AU241" s="805"/>
      <c r="AV241" s="805"/>
      <c r="AW241" s="805">
        <f t="shared" si="100"/>
        <v>60</v>
      </c>
      <c r="AX241" s="805"/>
      <c r="AY241" s="805"/>
      <c r="AZ241" s="805"/>
      <c r="BA241" s="805"/>
      <c r="BB241" s="805"/>
      <c r="BC241" s="1101"/>
      <c r="BD241" s="1101"/>
      <c r="BE241" s="1101"/>
      <c r="BF241" s="1101"/>
      <c r="BG241" s="1101"/>
      <c r="BH241" s="805"/>
      <c r="BI241" s="805"/>
      <c r="BJ241" s="805"/>
      <c r="BL241" s="1214"/>
      <c r="BM241" s="1214"/>
      <c r="BN241" s="1214"/>
      <c r="BO241" s="1214"/>
      <c r="BP241" s="1214"/>
      <c r="BQ241" s="1214"/>
      <c r="BT241" s="805">
        <f t="shared" si="94"/>
        <v>60</v>
      </c>
      <c r="BU241" s="805">
        <f t="shared" si="95"/>
        <v>0</v>
      </c>
      <c r="BV241" s="291">
        <f t="shared" si="67"/>
        <v>996285</v>
      </c>
      <c r="BW241" s="1214"/>
      <c r="BX241" s="1214"/>
      <c r="BY241" s="1216"/>
      <c r="BZ241" s="291">
        <f t="shared" si="85"/>
        <v>303715</v>
      </c>
      <c r="CA241" s="1214"/>
      <c r="CF241" s="1219"/>
      <c r="CG241" s="1219"/>
      <c r="CH241" s="1219"/>
      <c r="CI241" s="1219"/>
      <c r="CJ241" s="1219"/>
      <c r="CK241" s="1219"/>
      <c r="CL241" s="1219"/>
      <c r="CM241" s="1219"/>
      <c r="CN241" s="1219"/>
      <c r="CO241" s="1219"/>
      <c r="CP241" s="1219"/>
      <c r="CQ241" s="1219"/>
      <c r="CR241" s="1219"/>
      <c r="CS241" s="1219"/>
      <c r="CT241" s="1219"/>
      <c r="CU241" s="1219"/>
      <c r="CV241" s="1219"/>
      <c r="CW241" s="1219"/>
      <c r="CX241" s="1219"/>
      <c r="CY241" s="1219"/>
      <c r="CZ241" s="1219"/>
      <c r="DA241" s="1219"/>
    </row>
    <row r="242" s="807" customFormat="1" ht="31" hidden="1" customHeight="1" spans="1:105">
      <c r="A242" s="1100">
        <v>46055</v>
      </c>
      <c r="B242" s="895" t="s">
        <v>199</v>
      </c>
      <c r="C242" s="1101" t="s">
        <v>84</v>
      </c>
      <c r="D242" s="805">
        <v>4500192878</v>
      </c>
      <c r="E242" s="1298" t="s">
        <v>1081</v>
      </c>
      <c r="F242" s="805" t="s">
        <v>1082</v>
      </c>
      <c r="G242" s="1102" t="s">
        <v>202</v>
      </c>
      <c r="H242" s="911" t="s">
        <v>203</v>
      </c>
      <c r="I242" s="911">
        <v>960</v>
      </c>
      <c r="J242" s="911">
        <v>0</v>
      </c>
      <c r="K242" s="911">
        <v>16</v>
      </c>
      <c r="L242" s="1112">
        <f t="shared" si="87"/>
        <v>60</v>
      </c>
      <c r="M242" s="932">
        <v>46112</v>
      </c>
      <c r="N242" s="932">
        <v>46108</v>
      </c>
      <c r="O242" s="1189"/>
      <c r="P242" s="1113"/>
      <c r="Q242" s="285"/>
      <c r="R242" s="1119" t="s">
        <v>968</v>
      </c>
      <c r="S242" s="1119" t="s">
        <v>58</v>
      </c>
      <c r="T242" s="1119" t="s">
        <v>969</v>
      </c>
      <c r="U242" s="946" t="s">
        <v>970</v>
      </c>
      <c r="V242" s="1120" t="s">
        <v>207</v>
      </c>
      <c r="W242" s="1121">
        <v>1.2079</v>
      </c>
      <c r="X242" s="1122">
        <f t="shared" si="98"/>
        <v>1159.584</v>
      </c>
      <c r="Y242" s="285"/>
      <c r="Z242" s="1102" t="s">
        <v>202</v>
      </c>
      <c r="AA242" s="911"/>
      <c r="AB242" s="911"/>
      <c r="AC242" s="285"/>
      <c r="AD242" s="1130"/>
      <c r="AE242" s="1130">
        <f t="shared" si="97"/>
        <v>-960</v>
      </c>
      <c r="AF242" s="1131"/>
      <c r="AG242" s="285"/>
      <c r="AH242" s="285"/>
      <c r="AI242" s="285">
        <f t="shared" si="96"/>
        <v>960</v>
      </c>
      <c r="AJ242" s="968">
        <f t="shared" si="99"/>
        <v>960</v>
      </c>
      <c r="AK242" s="968"/>
      <c r="AL242" s="968"/>
      <c r="AM242" s="805">
        <f t="shared" si="92"/>
        <v>960</v>
      </c>
      <c r="AN242" s="805"/>
      <c r="AO242" s="805"/>
      <c r="AP242" s="805"/>
      <c r="AQ242" s="805"/>
      <c r="AR242" s="805"/>
      <c r="AS242" s="805"/>
      <c r="AT242" s="805"/>
      <c r="AU242" s="805"/>
      <c r="AV242" s="805"/>
      <c r="AW242" s="805">
        <f t="shared" si="100"/>
        <v>60</v>
      </c>
      <c r="AX242" s="805"/>
      <c r="AY242" s="805"/>
      <c r="AZ242" s="805"/>
      <c r="BA242" s="805"/>
      <c r="BB242" s="805"/>
      <c r="BC242" s="1101"/>
      <c r="BD242" s="1101"/>
      <c r="BE242" s="1101"/>
      <c r="BF242" s="1101"/>
      <c r="BG242" s="1101"/>
      <c r="BH242" s="805"/>
      <c r="BI242" s="805"/>
      <c r="BJ242" s="805"/>
      <c r="BL242" s="1214"/>
      <c r="BM242" s="1214"/>
      <c r="BN242" s="1214"/>
      <c r="BO242" s="1214"/>
      <c r="BP242" s="1214"/>
      <c r="BQ242" s="1214"/>
      <c r="BT242" s="805">
        <f t="shared" si="94"/>
        <v>60</v>
      </c>
      <c r="BU242" s="805">
        <f t="shared" si="95"/>
        <v>0</v>
      </c>
      <c r="BV242" s="291">
        <f t="shared" si="67"/>
        <v>997245</v>
      </c>
      <c r="BW242" s="1214"/>
      <c r="BX242" s="1214"/>
      <c r="BY242" s="1216"/>
      <c r="BZ242" s="291">
        <f t="shared" si="85"/>
        <v>302755</v>
      </c>
      <c r="CA242" s="1214"/>
      <c r="CF242" s="1219"/>
      <c r="CG242" s="1219"/>
      <c r="CH242" s="1219"/>
      <c r="CI242" s="1219"/>
      <c r="CJ242" s="1219"/>
      <c r="CK242" s="1219"/>
      <c r="CL242" s="1219"/>
      <c r="CM242" s="1219"/>
      <c r="CN242" s="1219"/>
      <c r="CO242" s="1219"/>
      <c r="CP242" s="1219"/>
      <c r="CQ242" s="1219"/>
      <c r="CR242" s="1219"/>
      <c r="CS242" s="1219"/>
      <c r="CT242" s="1219"/>
      <c r="CU242" s="1219"/>
      <c r="CV242" s="1219"/>
      <c r="CW242" s="1219"/>
      <c r="CX242" s="1219"/>
      <c r="CY242" s="1219"/>
      <c r="CZ242" s="1219"/>
      <c r="DA242" s="1219"/>
    </row>
    <row r="243" s="805" customFormat="1" ht="31" hidden="1" customHeight="1" spans="1:105">
      <c r="A243" s="1100">
        <v>46052</v>
      </c>
      <c r="B243" s="895" t="s">
        <v>191</v>
      </c>
      <c r="C243" s="1101" t="s">
        <v>84</v>
      </c>
      <c r="D243" s="805">
        <v>4500192794</v>
      </c>
      <c r="E243" s="285">
        <v>219020873</v>
      </c>
      <c r="F243" s="805" t="s">
        <v>1083</v>
      </c>
      <c r="G243" s="1102" t="s">
        <v>151</v>
      </c>
      <c r="H243" s="911" t="s">
        <v>152</v>
      </c>
      <c r="I243" s="1194">
        <v>819</v>
      </c>
      <c r="J243" s="911">
        <v>0</v>
      </c>
      <c r="K243" s="911">
        <v>13</v>
      </c>
      <c r="L243" s="1112">
        <f t="shared" si="87"/>
        <v>63</v>
      </c>
      <c r="M243" s="932">
        <v>46113</v>
      </c>
      <c r="N243" s="932">
        <v>46108</v>
      </c>
      <c r="O243" s="1189"/>
      <c r="P243" s="1113"/>
      <c r="Q243" s="285"/>
      <c r="R243" s="1119" t="s">
        <v>49</v>
      </c>
      <c r="S243" s="1119" t="s">
        <v>58</v>
      </c>
      <c r="T243" s="1119" t="s">
        <v>58</v>
      </c>
      <c r="U243" s="946" t="s">
        <v>1084</v>
      </c>
      <c r="V243" s="1120" t="s">
        <v>195</v>
      </c>
      <c r="W243" s="1121">
        <v>1.0925</v>
      </c>
      <c r="X243" s="1122">
        <f t="shared" si="98"/>
        <v>894.7575</v>
      </c>
      <c r="Y243" s="285"/>
      <c r="Z243" s="1102" t="s">
        <v>151</v>
      </c>
      <c r="AA243" s="911" t="s">
        <v>53</v>
      </c>
      <c r="AB243" s="911"/>
      <c r="AC243" s="285"/>
      <c r="AD243" s="1130"/>
      <c r="AE243" s="1130">
        <f t="shared" si="97"/>
        <v>-819</v>
      </c>
      <c r="AF243" s="1131"/>
      <c r="AG243" s="285"/>
      <c r="AH243" s="285"/>
      <c r="AI243" s="285">
        <f t="shared" si="96"/>
        <v>819</v>
      </c>
      <c r="AJ243" s="968">
        <f t="shared" si="99"/>
        <v>819</v>
      </c>
      <c r="AK243" s="968"/>
      <c r="AL243" s="968"/>
      <c r="AM243" s="805">
        <f t="shared" si="92"/>
        <v>819</v>
      </c>
      <c r="AP243" s="805">
        <f>I243/13</f>
        <v>63</v>
      </c>
      <c r="BC243" s="1101"/>
      <c r="BD243" s="1101"/>
      <c r="BE243" s="1101"/>
      <c r="BF243" s="1101"/>
      <c r="BG243" s="1101"/>
      <c r="BL243" s="291"/>
      <c r="BM243" s="291"/>
      <c r="BN243" s="291"/>
      <c r="BO243" s="291"/>
      <c r="BP243" s="291"/>
      <c r="BQ243" s="291"/>
      <c r="BT243" s="805">
        <f>AR243+AS243+AW243</f>
        <v>0</v>
      </c>
      <c r="BU243" s="805">
        <f>BD243+BE243+BG243</f>
        <v>0</v>
      </c>
      <c r="BV243" s="291">
        <f>AI243+BV242</f>
        <v>998064</v>
      </c>
      <c r="BW243" s="291"/>
      <c r="BX243" s="291"/>
      <c r="BY243" s="975"/>
      <c r="BZ243" s="291">
        <f t="shared" si="85"/>
        <v>301936</v>
      </c>
      <c r="CA243" s="291"/>
      <c r="CF243" s="1142"/>
      <c r="CG243" s="1142"/>
      <c r="CH243" s="1142"/>
      <c r="CI243" s="1142"/>
      <c r="CJ243" s="1142"/>
      <c r="CK243" s="1142"/>
      <c r="CL243" s="1142"/>
      <c r="CM243" s="1142"/>
      <c r="CN243" s="1142"/>
      <c r="CO243" s="1142"/>
      <c r="CP243" s="1142"/>
      <c r="CQ243" s="1142"/>
      <c r="CR243" s="1142"/>
      <c r="CS243" s="1142"/>
      <c r="CT243" s="1142"/>
      <c r="CU243" s="1142"/>
      <c r="CV243" s="1142"/>
      <c r="CW243" s="1142"/>
      <c r="CX243" s="1142"/>
      <c r="CY243" s="1142"/>
      <c r="CZ243" s="1142"/>
      <c r="DA243" s="1142"/>
    </row>
    <row r="244" s="805" customFormat="1" ht="31" hidden="1" customHeight="1" spans="1:105">
      <c r="A244" s="1100">
        <v>46052</v>
      </c>
      <c r="B244" s="895" t="s">
        <v>191</v>
      </c>
      <c r="C244" s="1101" t="s">
        <v>84</v>
      </c>
      <c r="D244" s="805">
        <v>4500192794</v>
      </c>
      <c r="E244" s="285">
        <v>219020879</v>
      </c>
      <c r="F244" s="805" t="s">
        <v>1085</v>
      </c>
      <c r="G244" s="1102" t="s">
        <v>151</v>
      </c>
      <c r="H244" s="911" t="s">
        <v>152</v>
      </c>
      <c r="I244" s="1194">
        <v>390</v>
      </c>
      <c r="J244" s="911">
        <v>0</v>
      </c>
      <c r="K244" s="911">
        <v>13</v>
      </c>
      <c r="L244" s="1112">
        <f t="shared" si="87"/>
        <v>30</v>
      </c>
      <c r="M244" s="932">
        <v>46113</v>
      </c>
      <c r="N244" s="932">
        <v>46108</v>
      </c>
      <c r="O244" s="1189"/>
      <c r="P244" s="1113"/>
      <c r="Q244" s="285"/>
      <c r="R244" s="1119" t="s">
        <v>49</v>
      </c>
      <c r="S244" s="1119" t="s">
        <v>58</v>
      </c>
      <c r="T244" s="1119" t="s">
        <v>58</v>
      </c>
      <c r="U244" s="946" t="s">
        <v>1084</v>
      </c>
      <c r="V244" s="1120" t="s">
        <v>195</v>
      </c>
      <c r="W244" s="1121">
        <v>1.1237</v>
      </c>
      <c r="X244" s="1122">
        <f t="shared" si="98"/>
        <v>438.243</v>
      </c>
      <c r="Y244" s="285"/>
      <c r="Z244" s="1102" t="s">
        <v>151</v>
      </c>
      <c r="AA244" s="911" t="s">
        <v>53</v>
      </c>
      <c r="AB244" s="911"/>
      <c r="AC244" s="285"/>
      <c r="AD244" s="1130"/>
      <c r="AE244" s="1130">
        <f t="shared" si="97"/>
        <v>-390</v>
      </c>
      <c r="AF244" s="1131"/>
      <c r="AG244" s="285"/>
      <c r="AH244" s="285"/>
      <c r="AI244" s="285">
        <f t="shared" si="96"/>
        <v>390</v>
      </c>
      <c r="AJ244" s="968">
        <f t="shared" si="99"/>
        <v>390</v>
      </c>
      <c r="AK244" s="968"/>
      <c r="AL244" s="968"/>
      <c r="AM244" s="805">
        <f t="shared" si="92"/>
        <v>390</v>
      </c>
      <c r="AP244" s="805">
        <f>I244/13</f>
        <v>30</v>
      </c>
      <c r="BC244" s="1101"/>
      <c r="BD244" s="1101"/>
      <c r="BE244" s="1101"/>
      <c r="BF244" s="1101"/>
      <c r="BG244" s="1101"/>
      <c r="BL244" s="291"/>
      <c r="BM244" s="291"/>
      <c r="BN244" s="291"/>
      <c r="BO244" s="291"/>
      <c r="BP244" s="291"/>
      <c r="BQ244" s="291"/>
      <c r="BT244" s="805">
        <f>AR244+AS244+AW244</f>
        <v>0</v>
      </c>
      <c r="BU244" s="805">
        <f>BD244+BE244+BG244</f>
        <v>0</v>
      </c>
      <c r="BV244" s="291">
        <f>AI244+BV243</f>
        <v>998454</v>
      </c>
      <c r="BW244" s="291"/>
      <c r="BX244" s="291"/>
      <c r="BY244" s="975"/>
      <c r="BZ244" s="291">
        <f t="shared" si="85"/>
        <v>301546</v>
      </c>
      <c r="CA244" s="291"/>
      <c r="CF244" s="1142"/>
      <c r="CG244" s="1142"/>
      <c r="CH244" s="1142"/>
      <c r="CI244" s="1142"/>
      <c r="CJ244" s="1142"/>
      <c r="CK244" s="1142"/>
      <c r="CL244" s="1142"/>
      <c r="CM244" s="1142"/>
      <c r="CN244" s="1142"/>
      <c r="CO244" s="1142"/>
      <c r="CP244" s="1142"/>
      <c r="CQ244" s="1142"/>
      <c r="CR244" s="1142"/>
      <c r="CS244" s="1142"/>
      <c r="CT244" s="1142"/>
      <c r="CU244" s="1142"/>
      <c r="CV244" s="1142"/>
      <c r="CW244" s="1142"/>
      <c r="CX244" s="1142"/>
      <c r="CY244" s="1142"/>
      <c r="CZ244" s="1142"/>
      <c r="DA244" s="1142"/>
    </row>
    <row r="245" s="806" customFormat="1" ht="31" hidden="1" customHeight="1" spans="1:105">
      <c r="A245" s="1186">
        <v>46066</v>
      </c>
      <c r="B245" s="1037" t="s">
        <v>199</v>
      </c>
      <c r="C245" s="1187" t="s">
        <v>84</v>
      </c>
      <c r="D245" s="806">
        <v>4500193953</v>
      </c>
      <c r="E245" s="1301" t="s">
        <v>1086</v>
      </c>
      <c r="F245" s="806" t="s">
        <v>1087</v>
      </c>
      <c r="G245" s="1188" t="s">
        <v>202</v>
      </c>
      <c r="H245" s="984" t="s">
        <v>203</v>
      </c>
      <c r="I245" s="1195">
        <v>9600</v>
      </c>
      <c r="J245" s="984">
        <v>0</v>
      </c>
      <c r="K245" s="984">
        <v>16</v>
      </c>
      <c r="L245" s="1196">
        <f t="shared" ref="L245:L251" si="101">I245/K245</f>
        <v>600</v>
      </c>
      <c r="M245" s="1005">
        <v>46115</v>
      </c>
      <c r="N245" s="1005">
        <f>M245-4</f>
        <v>46111</v>
      </c>
      <c r="O245" s="1197"/>
      <c r="P245" s="1198"/>
      <c r="Q245" s="981"/>
      <c r="R245" s="1204"/>
      <c r="S245" s="1204"/>
      <c r="T245" s="1204"/>
      <c r="U245" s="1021" t="s">
        <v>421</v>
      </c>
      <c r="V245" s="1205" t="s">
        <v>207</v>
      </c>
      <c r="W245" s="1206">
        <v>1.1827</v>
      </c>
      <c r="X245" s="1207">
        <f t="shared" ref="X245:X251" si="102">W245*I245</f>
        <v>11353.92</v>
      </c>
      <c r="Y245" s="981"/>
      <c r="Z245" s="1188"/>
      <c r="AA245" s="984"/>
      <c r="AB245" s="984"/>
      <c r="AC245" s="981"/>
      <c r="AD245" s="1210"/>
      <c r="AE245" s="1210"/>
      <c r="AF245" s="1211"/>
      <c r="AG245" s="981"/>
      <c r="AH245" s="981"/>
      <c r="AI245" s="981">
        <f t="shared" ref="AI245:AI251" si="103">I245</f>
        <v>9600</v>
      </c>
      <c r="AJ245" s="1043"/>
      <c r="AK245" s="1043"/>
      <c r="AL245" s="1043"/>
      <c r="BC245" s="1187"/>
      <c r="BD245" s="1187"/>
      <c r="BE245" s="1187"/>
      <c r="BF245" s="1187"/>
      <c r="BG245" s="1187"/>
      <c r="BL245" s="1050"/>
      <c r="BM245" s="1050"/>
      <c r="BN245" s="1050"/>
      <c r="BO245" s="1050"/>
      <c r="BP245" s="1050"/>
      <c r="BQ245" s="1050"/>
      <c r="BV245" s="1050"/>
      <c r="BW245" s="1050"/>
      <c r="BX245" s="1050"/>
      <c r="BY245" s="1217"/>
      <c r="BZ245" s="1050"/>
      <c r="CA245" s="1050"/>
      <c r="CF245" s="1221"/>
      <c r="CG245" s="1221"/>
      <c r="CH245" s="1221"/>
      <c r="CI245" s="1221"/>
      <c r="CJ245" s="1221"/>
      <c r="CK245" s="1221"/>
      <c r="CL245" s="1221"/>
      <c r="CM245" s="1221"/>
      <c r="CN245" s="1221"/>
      <c r="CO245" s="1221"/>
      <c r="CP245" s="1221"/>
      <c r="CQ245" s="1221"/>
      <c r="CR245" s="1221"/>
      <c r="CS245" s="1221"/>
      <c r="CT245" s="1221"/>
      <c r="CU245" s="1221"/>
      <c r="CV245" s="1221"/>
      <c r="CW245" s="1221"/>
      <c r="CX245" s="1221"/>
      <c r="CY245" s="1221"/>
      <c r="CZ245" s="1221"/>
      <c r="DA245" s="1221"/>
    </row>
    <row r="246" s="806" customFormat="1" ht="31" hidden="1" customHeight="1" spans="1:105">
      <c r="A246" s="1186">
        <v>46066</v>
      </c>
      <c r="B246" s="1037" t="s">
        <v>199</v>
      </c>
      <c r="C246" s="1187" t="s">
        <v>84</v>
      </c>
      <c r="D246" s="806">
        <v>4500193953</v>
      </c>
      <c r="E246" s="1301" t="s">
        <v>1088</v>
      </c>
      <c r="F246" s="806" t="s">
        <v>1089</v>
      </c>
      <c r="G246" s="1188" t="s">
        <v>202</v>
      </c>
      <c r="H246" s="984" t="s">
        <v>203</v>
      </c>
      <c r="I246" s="1195">
        <v>5760</v>
      </c>
      <c r="J246" s="984">
        <v>0</v>
      </c>
      <c r="K246" s="984">
        <v>16</v>
      </c>
      <c r="L246" s="1196">
        <f t="shared" si="101"/>
        <v>360</v>
      </c>
      <c r="M246" s="1005">
        <v>46115</v>
      </c>
      <c r="N246" s="1005">
        <f t="shared" ref="N246:N251" si="104">M246-4</f>
        <v>46111</v>
      </c>
      <c r="O246" s="1197"/>
      <c r="P246" s="1198"/>
      <c r="Q246" s="981"/>
      <c r="R246" s="1204"/>
      <c r="S246" s="1204"/>
      <c r="T246" s="1204"/>
      <c r="U246" s="1021" t="s">
        <v>421</v>
      </c>
      <c r="V246" s="1205" t="s">
        <v>207</v>
      </c>
      <c r="W246" s="1206">
        <v>1.1827</v>
      </c>
      <c r="X246" s="1207">
        <f t="shared" si="102"/>
        <v>6812.352</v>
      </c>
      <c r="Y246" s="981"/>
      <c r="Z246" s="1188"/>
      <c r="AA246" s="984"/>
      <c r="AB246" s="984"/>
      <c r="AC246" s="981"/>
      <c r="AD246" s="1210"/>
      <c r="AE246" s="1210"/>
      <c r="AF246" s="1211"/>
      <c r="AG246" s="981"/>
      <c r="AH246" s="981"/>
      <c r="AI246" s="981">
        <f t="shared" si="103"/>
        <v>5760</v>
      </c>
      <c r="AJ246" s="1043"/>
      <c r="AK246" s="1043"/>
      <c r="AL246" s="1043"/>
      <c r="BC246" s="1187"/>
      <c r="BD246" s="1187"/>
      <c r="BE246" s="1187"/>
      <c r="BF246" s="1187"/>
      <c r="BG246" s="1187"/>
      <c r="BL246" s="1050"/>
      <c r="BM246" s="1050"/>
      <c r="BN246" s="1050"/>
      <c r="BO246" s="1050"/>
      <c r="BP246" s="1050"/>
      <c r="BQ246" s="1050"/>
      <c r="BV246" s="1050"/>
      <c r="BW246" s="1050"/>
      <c r="BX246" s="1050"/>
      <c r="BY246" s="1217"/>
      <c r="BZ246" s="1050"/>
      <c r="CA246" s="1050"/>
      <c r="CF246" s="1221"/>
      <c r="CG246" s="1221"/>
      <c r="CH246" s="1221"/>
      <c r="CI246" s="1221"/>
      <c r="CJ246" s="1221"/>
      <c r="CK246" s="1221"/>
      <c r="CL246" s="1221"/>
      <c r="CM246" s="1221"/>
      <c r="CN246" s="1221"/>
      <c r="CO246" s="1221"/>
      <c r="CP246" s="1221"/>
      <c r="CQ246" s="1221"/>
      <c r="CR246" s="1221"/>
      <c r="CS246" s="1221"/>
      <c r="CT246" s="1221"/>
      <c r="CU246" s="1221"/>
      <c r="CV246" s="1221"/>
      <c r="CW246" s="1221"/>
      <c r="CX246" s="1221"/>
      <c r="CY246" s="1221"/>
      <c r="CZ246" s="1221"/>
      <c r="DA246" s="1221"/>
    </row>
    <row r="247" s="806" customFormat="1" ht="31" hidden="1" customHeight="1" spans="1:105">
      <c r="A247" s="1186">
        <v>46066</v>
      </c>
      <c r="B247" s="1037" t="s">
        <v>199</v>
      </c>
      <c r="C247" s="1187" t="s">
        <v>84</v>
      </c>
      <c r="D247" s="806">
        <v>4500193953</v>
      </c>
      <c r="E247" s="1301" t="s">
        <v>1090</v>
      </c>
      <c r="F247" s="806" t="s">
        <v>1091</v>
      </c>
      <c r="G247" s="1188" t="s">
        <v>202</v>
      </c>
      <c r="H247" s="984" t="s">
        <v>203</v>
      </c>
      <c r="I247" s="1195">
        <v>8640</v>
      </c>
      <c r="J247" s="984">
        <v>0</v>
      </c>
      <c r="K247" s="984">
        <v>16</v>
      </c>
      <c r="L247" s="1196">
        <f t="shared" si="101"/>
        <v>540</v>
      </c>
      <c r="M247" s="1005">
        <v>46115</v>
      </c>
      <c r="N247" s="1005">
        <f t="shared" si="104"/>
        <v>46111</v>
      </c>
      <c r="O247" s="1197"/>
      <c r="P247" s="1198"/>
      <c r="Q247" s="981"/>
      <c r="R247" s="1204"/>
      <c r="S247" s="1204"/>
      <c r="T247" s="1204"/>
      <c r="U247" s="1021" t="s">
        <v>421</v>
      </c>
      <c r="V247" s="1205" t="s">
        <v>207</v>
      </c>
      <c r="W247" s="1206">
        <v>1.1827</v>
      </c>
      <c r="X247" s="1207">
        <f t="shared" si="102"/>
        <v>10218.528</v>
      </c>
      <c r="Y247" s="981"/>
      <c r="Z247" s="1188"/>
      <c r="AA247" s="984"/>
      <c r="AB247" s="984"/>
      <c r="AC247" s="981"/>
      <c r="AD247" s="1210"/>
      <c r="AE247" s="1210"/>
      <c r="AF247" s="1211"/>
      <c r="AG247" s="981"/>
      <c r="AH247" s="981"/>
      <c r="AI247" s="981">
        <f t="shared" si="103"/>
        <v>8640</v>
      </c>
      <c r="AJ247" s="1043"/>
      <c r="AK247" s="1043"/>
      <c r="AL247" s="1043"/>
      <c r="BC247" s="1187"/>
      <c r="BD247" s="1187"/>
      <c r="BE247" s="1187"/>
      <c r="BF247" s="1187"/>
      <c r="BG247" s="1187"/>
      <c r="BL247" s="1050"/>
      <c r="BM247" s="1050"/>
      <c r="BN247" s="1050"/>
      <c r="BO247" s="1050"/>
      <c r="BP247" s="1050"/>
      <c r="BQ247" s="1050"/>
      <c r="BV247" s="1050"/>
      <c r="BW247" s="1050"/>
      <c r="BX247" s="1050"/>
      <c r="BY247" s="1217"/>
      <c r="BZ247" s="1050"/>
      <c r="CA247" s="1050"/>
      <c r="CF247" s="1221"/>
      <c r="CG247" s="1221"/>
      <c r="CH247" s="1221"/>
      <c r="CI247" s="1221"/>
      <c r="CJ247" s="1221"/>
      <c r="CK247" s="1221"/>
      <c r="CL247" s="1221"/>
      <c r="CM247" s="1221"/>
      <c r="CN247" s="1221"/>
      <c r="CO247" s="1221"/>
      <c r="CP247" s="1221"/>
      <c r="CQ247" s="1221"/>
      <c r="CR247" s="1221"/>
      <c r="CS247" s="1221"/>
      <c r="CT247" s="1221"/>
      <c r="CU247" s="1221"/>
      <c r="CV247" s="1221"/>
      <c r="CW247" s="1221"/>
      <c r="CX247" s="1221"/>
      <c r="CY247" s="1221"/>
      <c r="CZ247" s="1221"/>
      <c r="DA247" s="1221"/>
    </row>
    <row r="248" s="806" customFormat="1" ht="31" hidden="1" customHeight="1" spans="1:105">
      <c r="A248" s="1186">
        <v>46066</v>
      </c>
      <c r="B248" s="1037" t="s">
        <v>199</v>
      </c>
      <c r="C248" s="1187" t="s">
        <v>84</v>
      </c>
      <c r="D248" s="806">
        <v>4500193953</v>
      </c>
      <c r="E248" s="1301" t="s">
        <v>1092</v>
      </c>
      <c r="F248" s="806" t="s">
        <v>1093</v>
      </c>
      <c r="G248" s="1188" t="s">
        <v>202</v>
      </c>
      <c r="H248" s="984" t="s">
        <v>203</v>
      </c>
      <c r="I248" s="1195">
        <v>12480</v>
      </c>
      <c r="J248" s="984">
        <v>0</v>
      </c>
      <c r="K248" s="984">
        <v>16</v>
      </c>
      <c r="L248" s="1196">
        <f t="shared" si="101"/>
        <v>780</v>
      </c>
      <c r="M248" s="1005">
        <v>46115</v>
      </c>
      <c r="N248" s="1005">
        <f t="shared" si="104"/>
        <v>46111</v>
      </c>
      <c r="O248" s="1197"/>
      <c r="P248" s="1198"/>
      <c r="Q248" s="981"/>
      <c r="R248" s="1204"/>
      <c r="S248" s="1204"/>
      <c r="T248" s="1204"/>
      <c r="U248" s="1021" t="s">
        <v>421</v>
      </c>
      <c r="V248" s="1205" t="s">
        <v>207</v>
      </c>
      <c r="W248" s="1206">
        <v>1.1827</v>
      </c>
      <c r="X248" s="1207">
        <f t="shared" si="102"/>
        <v>14760.096</v>
      </c>
      <c r="Y248" s="981"/>
      <c r="Z248" s="1188"/>
      <c r="AA248" s="984"/>
      <c r="AB248" s="984"/>
      <c r="AC248" s="981"/>
      <c r="AD248" s="1210"/>
      <c r="AE248" s="1210"/>
      <c r="AF248" s="1211"/>
      <c r="AG248" s="981"/>
      <c r="AH248" s="981"/>
      <c r="AI248" s="981">
        <f t="shared" si="103"/>
        <v>12480</v>
      </c>
      <c r="AJ248" s="1043"/>
      <c r="AK248" s="1043"/>
      <c r="AL248" s="1043"/>
      <c r="BC248" s="1187"/>
      <c r="BD248" s="1187"/>
      <c r="BE248" s="1187"/>
      <c r="BF248" s="1187"/>
      <c r="BG248" s="1187"/>
      <c r="BL248" s="1050"/>
      <c r="BM248" s="1050"/>
      <c r="BN248" s="1050"/>
      <c r="BO248" s="1050"/>
      <c r="BP248" s="1050"/>
      <c r="BQ248" s="1050"/>
      <c r="BV248" s="1050"/>
      <c r="BW248" s="1050"/>
      <c r="BX248" s="1050"/>
      <c r="BY248" s="1217"/>
      <c r="BZ248" s="1050"/>
      <c r="CA248" s="1050"/>
      <c r="CF248" s="1221"/>
      <c r="CG248" s="1221"/>
      <c r="CH248" s="1221"/>
      <c r="CI248" s="1221"/>
      <c r="CJ248" s="1221"/>
      <c r="CK248" s="1221"/>
      <c r="CL248" s="1221"/>
      <c r="CM248" s="1221"/>
      <c r="CN248" s="1221"/>
      <c r="CO248" s="1221"/>
      <c r="CP248" s="1221"/>
      <c r="CQ248" s="1221"/>
      <c r="CR248" s="1221"/>
      <c r="CS248" s="1221"/>
      <c r="CT248" s="1221"/>
      <c r="CU248" s="1221"/>
      <c r="CV248" s="1221"/>
      <c r="CW248" s="1221"/>
      <c r="CX248" s="1221"/>
      <c r="CY248" s="1221"/>
      <c r="CZ248" s="1221"/>
      <c r="DA248" s="1221"/>
    </row>
    <row r="249" s="806" customFormat="1" ht="31" hidden="1" customHeight="1" spans="1:105">
      <c r="A249" s="1186">
        <v>46066</v>
      </c>
      <c r="B249" s="1037" t="s">
        <v>199</v>
      </c>
      <c r="C249" s="1187" t="s">
        <v>84</v>
      </c>
      <c r="D249" s="806">
        <v>4500193953</v>
      </c>
      <c r="E249" s="1301" t="s">
        <v>1094</v>
      </c>
      <c r="F249" s="806" t="s">
        <v>1095</v>
      </c>
      <c r="G249" s="1188" t="s">
        <v>202</v>
      </c>
      <c r="H249" s="984" t="s">
        <v>203</v>
      </c>
      <c r="I249" s="1195">
        <v>6720</v>
      </c>
      <c r="J249" s="984">
        <v>0</v>
      </c>
      <c r="K249" s="984">
        <v>16</v>
      </c>
      <c r="L249" s="1196">
        <f t="shared" si="101"/>
        <v>420</v>
      </c>
      <c r="M249" s="1005">
        <v>46115</v>
      </c>
      <c r="N249" s="1005">
        <f t="shared" si="104"/>
        <v>46111</v>
      </c>
      <c r="O249" s="1197"/>
      <c r="P249" s="1198"/>
      <c r="Q249" s="981"/>
      <c r="R249" s="1204"/>
      <c r="S249" s="1204"/>
      <c r="T249" s="1204"/>
      <c r="U249" s="1021" t="s">
        <v>421</v>
      </c>
      <c r="V249" s="1205" t="s">
        <v>207</v>
      </c>
      <c r="W249" s="1206">
        <v>1.1827</v>
      </c>
      <c r="X249" s="1207">
        <f t="shared" si="102"/>
        <v>7947.744</v>
      </c>
      <c r="Y249" s="981"/>
      <c r="Z249" s="1188"/>
      <c r="AA249" s="984"/>
      <c r="AB249" s="984"/>
      <c r="AC249" s="981"/>
      <c r="AD249" s="1210"/>
      <c r="AE249" s="1210"/>
      <c r="AF249" s="1211"/>
      <c r="AG249" s="981"/>
      <c r="AH249" s="981"/>
      <c r="AI249" s="981">
        <f t="shared" si="103"/>
        <v>6720</v>
      </c>
      <c r="AJ249" s="1043"/>
      <c r="AK249" s="1043"/>
      <c r="AL249" s="1043"/>
      <c r="BC249" s="1187"/>
      <c r="BD249" s="1187"/>
      <c r="BE249" s="1187"/>
      <c r="BF249" s="1187"/>
      <c r="BG249" s="1187"/>
      <c r="BL249" s="1050"/>
      <c r="BM249" s="1050"/>
      <c r="BN249" s="1050"/>
      <c r="BO249" s="1050"/>
      <c r="BP249" s="1050"/>
      <c r="BQ249" s="1050"/>
      <c r="BV249" s="1050"/>
      <c r="BW249" s="1050"/>
      <c r="BX249" s="1050"/>
      <c r="BY249" s="1217"/>
      <c r="BZ249" s="1050"/>
      <c r="CA249" s="1050"/>
      <c r="CF249" s="1221"/>
      <c r="CG249" s="1221"/>
      <c r="CH249" s="1221"/>
      <c r="CI249" s="1221"/>
      <c r="CJ249" s="1221"/>
      <c r="CK249" s="1221"/>
      <c r="CL249" s="1221"/>
      <c r="CM249" s="1221"/>
      <c r="CN249" s="1221"/>
      <c r="CO249" s="1221"/>
      <c r="CP249" s="1221"/>
      <c r="CQ249" s="1221"/>
      <c r="CR249" s="1221"/>
      <c r="CS249" s="1221"/>
      <c r="CT249" s="1221"/>
      <c r="CU249" s="1221"/>
      <c r="CV249" s="1221"/>
      <c r="CW249" s="1221"/>
      <c r="CX249" s="1221"/>
      <c r="CY249" s="1221"/>
      <c r="CZ249" s="1221"/>
      <c r="DA249" s="1221"/>
    </row>
    <row r="250" s="806" customFormat="1" ht="31" hidden="1" customHeight="1" spans="1:105">
      <c r="A250" s="1186">
        <v>46066</v>
      </c>
      <c r="B250" s="1037" t="s">
        <v>199</v>
      </c>
      <c r="C250" s="1187" t="s">
        <v>84</v>
      </c>
      <c r="D250" s="806">
        <v>4500193953</v>
      </c>
      <c r="E250" s="1301" t="s">
        <v>1096</v>
      </c>
      <c r="F250" s="806" t="s">
        <v>1097</v>
      </c>
      <c r="G250" s="1188" t="s">
        <v>202</v>
      </c>
      <c r="H250" s="984" t="s">
        <v>203</v>
      </c>
      <c r="I250" s="1195">
        <v>7680</v>
      </c>
      <c r="J250" s="984">
        <v>0</v>
      </c>
      <c r="K250" s="984">
        <v>16</v>
      </c>
      <c r="L250" s="1196">
        <f t="shared" si="101"/>
        <v>480</v>
      </c>
      <c r="M250" s="1005">
        <v>46115</v>
      </c>
      <c r="N250" s="1005">
        <f t="shared" si="104"/>
        <v>46111</v>
      </c>
      <c r="O250" s="1197"/>
      <c r="P250" s="1198"/>
      <c r="Q250" s="981"/>
      <c r="R250" s="1204"/>
      <c r="S250" s="1204"/>
      <c r="T250" s="1204"/>
      <c r="U250" s="1021" t="s">
        <v>421</v>
      </c>
      <c r="V250" s="1205" t="s">
        <v>207</v>
      </c>
      <c r="W250" s="1206">
        <v>1.1827</v>
      </c>
      <c r="X250" s="1207">
        <f t="shared" si="102"/>
        <v>9083.136</v>
      </c>
      <c r="Y250" s="981"/>
      <c r="Z250" s="1188"/>
      <c r="AA250" s="984"/>
      <c r="AB250" s="984"/>
      <c r="AC250" s="981"/>
      <c r="AD250" s="1210"/>
      <c r="AE250" s="1210"/>
      <c r="AF250" s="1211"/>
      <c r="AG250" s="981"/>
      <c r="AH250" s="981"/>
      <c r="AI250" s="981">
        <f t="shared" si="103"/>
        <v>7680</v>
      </c>
      <c r="AJ250" s="1043"/>
      <c r="AK250" s="1043"/>
      <c r="AL250" s="1043"/>
      <c r="BC250" s="1187"/>
      <c r="BD250" s="1187"/>
      <c r="BE250" s="1187"/>
      <c r="BF250" s="1187"/>
      <c r="BG250" s="1187"/>
      <c r="BL250" s="1050"/>
      <c r="BM250" s="1050"/>
      <c r="BN250" s="1050"/>
      <c r="BO250" s="1050"/>
      <c r="BP250" s="1050"/>
      <c r="BQ250" s="1050"/>
      <c r="BV250" s="1050"/>
      <c r="BW250" s="1050"/>
      <c r="BX250" s="1050"/>
      <c r="BY250" s="1217"/>
      <c r="BZ250" s="1050"/>
      <c r="CA250" s="1050"/>
      <c r="CF250" s="1221"/>
      <c r="CG250" s="1221"/>
      <c r="CH250" s="1221"/>
      <c r="CI250" s="1221"/>
      <c r="CJ250" s="1221"/>
      <c r="CK250" s="1221"/>
      <c r="CL250" s="1221"/>
      <c r="CM250" s="1221"/>
      <c r="CN250" s="1221"/>
      <c r="CO250" s="1221"/>
      <c r="CP250" s="1221"/>
      <c r="CQ250" s="1221"/>
      <c r="CR250" s="1221"/>
      <c r="CS250" s="1221"/>
      <c r="CT250" s="1221"/>
      <c r="CU250" s="1221"/>
      <c r="CV250" s="1221"/>
      <c r="CW250" s="1221"/>
      <c r="CX250" s="1221"/>
      <c r="CY250" s="1221"/>
      <c r="CZ250" s="1221"/>
      <c r="DA250" s="1221"/>
    </row>
    <row r="251" s="806" customFormat="1" ht="31" hidden="1" customHeight="1" spans="1:105">
      <c r="A251" s="1186">
        <v>46066</v>
      </c>
      <c r="B251" s="1037" t="s">
        <v>199</v>
      </c>
      <c r="C251" s="1187" t="s">
        <v>84</v>
      </c>
      <c r="D251" s="806">
        <v>4500193953</v>
      </c>
      <c r="E251" s="1301" t="s">
        <v>1098</v>
      </c>
      <c r="F251" s="806" t="s">
        <v>1099</v>
      </c>
      <c r="G251" s="1188" t="s">
        <v>202</v>
      </c>
      <c r="H251" s="984" t="s">
        <v>203</v>
      </c>
      <c r="I251" s="1195">
        <v>7680</v>
      </c>
      <c r="J251" s="984">
        <v>0</v>
      </c>
      <c r="K251" s="984">
        <v>16</v>
      </c>
      <c r="L251" s="1196">
        <f t="shared" si="101"/>
        <v>480</v>
      </c>
      <c r="M251" s="1005">
        <v>46115</v>
      </c>
      <c r="N251" s="1005">
        <f t="shared" si="104"/>
        <v>46111</v>
      </c>
      <c r="O251" s="1197"/>
      <c r="P251" s="1198"/>
      <c r="Q251" s="981"/>
      <c r="R251" s="1204"/>
      <c r="S251" s="1204"/>
      <c r="T251" s="1204"/>
      <c r="U251" s="1021" t="s">
        <v>421</v>
      </c>
      <c r="V251" s="1205" t="s">
        <v>207</v>
      </c>
      <c r="W251" s="1206">
        <v>1.1827</v>
      </c>
      <c r="X251" s="1207">
        <f t="shared" si="102"/>
        <v>9083.136</v>
      </c>
      <c r="Y251" s="981"/>
      <c r="Z251" s="1188"/>
      <c r="AA251" s="984"/>
      <c r="AB251" s="984"/>
      <c r="AC251" s="981"/>
      <c r="AD251" s="1210"/>
      <c r="AE251" s="1210"/>
      <c r="AF251" s="1211"/>
      <c r="AG251" s="981"/>
      <c r="AH251" s="981"/>
      <c r="AI251" s="981">
        <f t="shared" si="103"/>
        <v>7680</v>
      </c>
      <c r="AJ251" s="1043"/>
      <c r="AK251" s="1043"/>
      <c r="AL251" s="1043"/>
      <c r="BC251" s="1187"/>
      <c r="BD251" s="1187"/>
      <c r="BE251" s="1187"/>
      <c r="BF251" s="1187"/>
      <c r="BG251" s="1187"/>
      <c r="BL251" s="1050"/>
      <c r="BM251" s="1050"/>
      <c r="BN251" s="1050"/>
      <c r="BO251" s="1050"/>
      <c r="BP251" s="1050"/>
      <c r="BQ251" s="1050"/>
      <c r="BV251" s="1050"/>
      <c r="BW251" s="1050"/>
      <c r="BX251" s="1050"/>
      <c r="BY251" s="1217"/>
      <c r="BZ251" s="1050"/>
      <c r="CA251" s="1050"/>
      <c r="CF251" s="1221"/>
      <c r="CG251" s="1221"/>
      <c r="CH251" s="1221"/>
      <c r="CI251" s="1221"/>
      <c r="CJ251" s="1221"/>
      <c r="CK251" s="1221"/>
      <c r="CL251" s="1221"/>
      <c r="CM251" s="1221"/>
      <c r="CN251" s="1221"/>
      <c r="CO251" s="1221"/>
      <c r="CP251" s="1221"/>
      <c r="CQ251" s="1221"/>
      <c r="CR251" s="1221"/>
      <c r="CS251" s="1221"/>
      <c r="CT251" s="1221"/>
      <c r="CU251" s="1221"/>
      <c r="CV251" s="1221"/>
      <c r="CW251" s="1221"/>
      <c r="CX251" s="1221"/>
      <c r="CY251" s="1221"/>
      <c r="CZ251" s="1221"/>
      <c r="DA251" s="1221"/>
    </row>
    <row r="252" s="807" customFormat="1" ht="31" hidden="1" customHeight="1" spans="1:105">
      <c r="A252" s="1100">
        <v>46058</v>
      </c>
      <c r="B252" s="895" t="s">
        <v>655</v>
      </c>
      <c r="C252" s="1101" t="s">
        <v>656</v>
      </c>
      <c r="D252" s="805">
        <v>4500192252</v>
      </c>
      <c r="E252" s="285">
        <v>5000002110</v>
      </c>
      <c r="F252" s="805" t="s">
        <v>1100</v>
      </c>
      <c r="G252" s="1102" t="s">
        <v>151</v>
      </c>
      <c r="H252" s="911" t="s">
        <v>152</v>
      </c>
      <c r="I252" s="1194">
        <v>3900</v>
      </c>
      <c r="J252" s="911">
        <v>0</v>
      </c>
      <c r="K252" s="911">
        <v>13</v>
      </c>
      <c r="L252" s="1112">
        <f>I252/K252</f>
        <v>300</v>
      </c>
      <c r="M252" s="932">
        <v>46119</v>
      </c>
      <c r="N252" s="932">
        <v>46115</v>
      </c>
      <c r="O252" s="1189"/>
      <c r="P252" s="1113"/>
      <c r="Q252" s="285"/>
      <c r="R252" s="1119" t="s">
        <v>1101</v>
      </c>
      <c r="S252" s="1119" t="s">
        <v>58</v>
      </c>
      <c r="T252" s="1119" t="s">
        <v>1102</v>
      </c>
      <c r="U252" s="946" t="s">
        <v>1103</v>
      </c>
      <c r="V252" s="1120" t="s">
        <v>662</v>
      </c>
      <c r="W252" s="1121">
        <v>1.8151</v>
      </c>
      <c r="X252" s="1122">
        <f>W252*I252</f>
        <v>7078.89</v>
      </c>
      <c r="Y252" s="285"/>
      <c r="Z252" s="1102" t="s">
        <v>664</v>
      </c>
      <c r="AA252" s="911"/>
      <c r="AB252" s="911"/>
      <c r="AC252" s="285"/>
      <c r="AD252" s="1130"/>
      <c r="AE252" s="1130"/>
      <c r="AF252" s="1131"/>
      <c r="AG252" s="285"/>
      <c r="AH252" s="285"/>
      <c r="AI252" s="285">
        <f>I252</f>
        <v>3900</v>
      </c>
      <c r="AJ252" s="970">
        <f>I252</f>
        <v>3900</v>
      </c>
      <c r="AK252" s="803"/>
      <c r="AL252" s="970"/>
      <c r="AM252" s="803"/>
      <c r="AN252" s="803"/>
      <c r="AO252" s="803">
        <f>I252</f>
        <v>3900</v>
      </c>
      <c r="AP252" s="803">
        <f>I252/13</f>
        <v>300</v>
      </c>
      <c r="AQ252" s="805"/>
      <c r="AR252" s="805"/>
      <c r="AS252" s="805"/>
      <c r="AT252" s="805"/>
      <c r="AU252" s="805"/>
      <c r="AV252" s="805"/>
      <c r="AW252" s="805"/>
      <c r="AX252" s="805"/>
      <c r="AY252" s="805"/>
      <c r="AZ252" s="805"/>
      <c r="BA252" s="805"/>
      <c r="BB252" s="805"/>
      <c r="BC252" s="1101"/>
      <c r="BD252" s="1101"/>
      <c r="BE252" s="1101"/>
      <c r="BF252" s="1101"/>
      <c r="BG252" s="1101"/>
      <c r="BH252" s="805"/>
      <c r="BI252" s="805"/>
      <c r="BJ252" s="805"/>
      <c r="BL252" s="1214"/>
      <c r="BM252" s="1214"/>
      <c r="BN252" s="1214"/>
      <c r="BO252" s="1214"/>
      <c r="BP252" s="1214"/>
      <c r="BQ252" s="1214"/>
      <c r="BT252" s="807">
        <f>AR252+AS252+AW252</f>
        <v>0</v>
      </c>
      <c r="BU252" s="807">
        <f>BD252+BE252+BG252</f>
        <v>0</v>
      </c>
      <c r="BV252" s="1214">
        <f>AI252+BV244</f>
        <v>1002354</v>
      </c>
      <c r="BW252" s="1214"/>
      <c r="BX252" s="1214"/>
      <c r="BY252" s="1216"/>
      <c r="BZ252" s="1214">
        <f>$BX$1+$BY$1+$BZ$1-BV252</f>
        <v>297646</v>
      </c>
      <c r="CA252" s="1214"/>
      <c r="CF252" s="1219"/>
      <c r="CG252" s="1219"/>
      <c r="CH252" s="1219"/>
      <c r="CI252" s="1219"/>
      <c r="CJ252" s="1219"/>
      <c r="CK252" s="1219"/>
      <c r="CL252" s="1219"/>
      <c r="CM252" s="1219"/>
      <c r="CN252" s="1219"/>
      <c r="CO252" s="1219"/>
      <c r="CP252" s="1219"/>
      <c r="CQ252" s="1219"/>
      <c r="CR252" s="1219"/>
      <c r="CS252" s="1219"/>
      <c r="CT252" s="1219"/>
      <c r="CU252" s="1219"/>
      <c r="CV252" s="1219"/>
      <c r="CW252" s="1219"/>
      <c r="CX252" s="1219"/>
      <c r="CY252" s="1219"/>
      <c r="CZ252" s="1219"/>
      <c r="DA252" s="1219"/>
    </row>
    <row r="253" s="1098" customFormat="1" ht="31" hidden="1" customHeight="1" spans="1:105">
      <c r="A253" s="1181">
        <v>46058</v>
      </c>
      <c r="B253" s="1182" t="s">
        <v>715</v>
      </c>
      <c r="C253" s="1183" t="s">
        <v>716</v>
      </c>
      <c r="D253" s="1097">
        <v>4500193215</v>
      </c>
      <c r="E253" s="1184" t="s">
        <v>1104</v>
      </c>
      <c r="F253" s="1097" t="s">
        <v>1105</v>
      </c>
      <c r="G253" s="1185" t="s">
        <v>375</v>
      </c>
      <c r="H253" s="1185" t="s">
        <v>376</v>
      </c>
      <c r="I253" s="1190">
        <v>12</v>
      </c>
      <c r="J253" s="1190">
        <v>0</v>
      </c>
      <c r="K253" s="1190">
        <v>12</v>
      </c>
      <c r="L253" s="1191">
        <f>I253/K253</f>
        <v>1</v>
      </c>
      <c r="M253" s="1192">
        <v>46127</v>
      </c>
      <c r="N253" s="1192">
        <v>46123</v>
      </c>
      <c r="O253" s="1184"/>
      <c r="P253" s="1193"/>
      <c r="Q253" s="1184"/>
      <c r="R253" s="1119">
        <v>46058</v>
      </c>
      <c r="S253" s="1199" t="s">
        <v>48</v>
      </c>
      <c r="T253" s="1199" t="s">
        <v>1106</v>
      </c>
      <c r="U253" s="1200" t="s">
        <v>1107</v>
      </c>
      <c r="V253" s="1201" t="s">
        <v>721</v>
      </c>
      <c r="W253" s="1202">
        <v>2.7354</v>
      </c>
      <c r="X253" s="1203">
        <f>W253*I253</f>
        <v>32.8248</v>
      </c>
      <c r="Y253" s="1184"/>
      <c r="Z253" s="285"/>
      <c r="AA253" s="1190"/>
      <c r="AB253" s="911"/>
      <c r="AC253" s="1184"/>
      <c r="AD253" s="1208"/>
      <c r="AE253" s="1130">
        <f>AD253-I253</f>
        <v>-12</v>
      </c>
      <c r="AF253" s="1209"/>
      <c r="AG253" s="1184"/>
      <c r="AH253" s="1184"/>
      <c r="AI253" s="1184">
        <f>I253*2</f>
        <v>24</v>
      </c>
      <c r="AJ253" s="1180"/>
      <c r="AK253" s="968"/>
      <c r="AL253" s="968">
        <f>I253*2</f>
        <v>24</v>
      </c>
      <c r="AM253" s="805">
        <f>I253*2</f>
        <v>24</v>
      </c>
      <c r="AN253" s="1097"/>
      <c r="AO253" s="1097"/>
      <c r="AP253" s="1097"/>
      <c r="AQ253" s="1097"/>
      <c r="AR253" s="1097"/>
      <c r="AS253" s="1097"/>
      <c r="AT253" s="1097"/>
      <c r="AU253" s="1097"/>
      <c r="AV253" s="1097"/>
      <c r="AW253" s="1097"/>
      <c r="AX253" s="1097"/>
      <c r="AY253" s="1097"/>
      <c r="AZ253" s="1097"/>
      <c r="BA253" s="1097"/>
      <c r="BB253" s="1097"/>
      <c r="BC253" s="1183"/>
      <c r="BD253" s="1183"/>
      <c r="BE253" s="1183"/>
      <c r="BF253" s="1183"/>
      <c r="BG253" s="1183"/>
      <c r="BH253" s="805">
        <f>I253</f>
        <v>12</v>
      </c>
      <c r="BI253" s="805">
        <f>I253</f>
        <v>12</v>
      </c>
      <c r="BJ253" s="805">
        <f>I253</f>
        <v>12</v>
      </c>
      <c r="BL253" s="1215"/>
      <c r="BM253" s="1215"/>
      <c r="BN253" s="1215"/>
      <c r="BO253" s="1215"/>
      <c r="BP253" s="1215"/>
      <c r="BQ253" s="1215"/>
      <c r="BT253" s="807">
        <f>AR253+AS253+AW253</f>
        <v>0</v>
      </c>
      <c r="BU253" s="807">
        <f>BD253+BE253+BG253</f>
        <v>0</v>
      </c>
      <c r="BV253" s="1214">
        <f>AI253+BV252</f>
        <v>1002378</v>
      </c>
      <c r="BW253" s="1214"/>
      <c r="BX253" s="1214"/>
      <c r="BY253" s="1216"/>
      <c r="BZ253" s="1214">
        <f>$BX$1+$BY$1+$BZ$1-BV253</f>
        <v>297622</v>
      </c>
      <c r="CA253" s="1215"/>
      <c r="CF253" s="1220"/>
      <c r="CG253" s="1220"/>
      <c r="CH253" s="1220"/>
      <c r="CI253" s="1220"/>
      <c r="CJ253" s="1220"/>
      <c r="CK253" s="1220"/>
      <c r="CL253" s="1220"/>
      <c r="CM253" s="1220"/>
      <c r="CN253" s="1220"/>
      <c r="CO253" s="1220"/>
      <c r="CP253" s="1220"/>
      <c r="CQ253" s="1220"/>
      <c r="CR253" s="1220"/>
      <c r="CS253" s="1220"/>
      <c r="CT253" s="1220"/>
      <c r="CU253" s="1220"/>
      <c r="CV253" s="1220"/>
      <c r="CW253" s="1220"/>
      <c r="CX253" s="1220"/>
      <c r="CY253" s="1220"/>
      <c r="CZ253" s="1220"/>
      <c r="DA253" s="1220"/>
    </row>
    <row r="254" s="1098" customFormat="1" ht="31" hidden="1" customHeight="1" spans="1:105">
      <c r="A254" s="1181">
        <v>46058</v>
      </c>
      <c r="B254" s="1182" t="s">
        <v>715</v>
      </c>
      <c r="C254" s="1183" t="s">
        <v>716</v>
      </c>
      <c r="D254" s="1097">
        <v>4500193215</v>
      </c>
      <c r="E254" s="1184" t="s">
        <v>1108</v>
      </c>
      <c r="F254" s="1097" t="s">
        <v>1109</v>
      </c>
      <c r="G254" s="1185" t="s">
        <v>375</v>
      </c>
      <c r="H254" s="1185" t="s">
        <v>376</v>
      </c>
      <c r="I254" s="1190">
        <v>12</v>
      </c>
      <c r="J254" s="1190">
        <v>0</v>
      </c>
      <c r="K254" s="1190">
        <v>12</v>
      </c>
      <c r="L254" s="1191">
        <f>I254/K254</f>
        <v>1</v>
      </c>
      <c r="M254" s="1192">
        <v>46127</v>
      </c>
      <c r="N254" s="1192">
        <v>46123</v>
      </c>
      <c r="O254" s="1184"/>
      <c r="P254" s="1193"/>
      <c r="Q254" s="1184"/>
      <c r="R254" s="1119">
        <v>46058</v>
      </c>
      <c r="S254" s="1199" t="s">
        <v>48</v>
      </c>
      <c r="T254" s="1199" t="s">
        <v>1106</v>
      </c>
      <c r="U254" s="1200" t="s">
        <v>1107</v>
      </c>
      <c r="V254" s="1201" t="s">
        <v>721</v>
      </c>
      <c r="W254" s="1202">
        <v>2.7354</v>
      </c>
      <c r="X254" s="1203">
        <f>W254*I254</f>
        <v>32.8248</v>
      </c>
      <c r="Y254" s="1184"/>
      <c r="Z254" s="285"/>
      <c r="AA254" s="1190"/>
      <c r="AB254" s="911"/>
      <c r="AC254" s="1184"/>
      <c r="AD254" s="1208"/>
      <c r="AE254" s="1130">
        <f>AD254-I254</f>
        <v>-12</v>
      </c>
      <c r="AF254" s="1209"/>
      <c r="AG254" s="1184"/>
      <c r="AH254" s="1184"/>
      <c r="AI254" s="1184">
        <f>I254*2</f>
        <v>24</v>
      </c>
      <c r="AJ254" s="1180"/>
      <c r="AK254" s="968"/>
      <c r="AL254" s="968">
        <f>I254*2</f>
        <v>24</v>
      </c>
      <c r="AM254" s="805">
        <f>I254*2</f>
        <v>24</v>
      </c>
      <c r="AN254" s="1097"/>
      <c r="AO254" s="1097"/>
      <c r="AP254" s="1097"/>
      <c r="AQ254" s="1097"/>
      <c r="AR254" s="1097"/>
      <c r="AS254" s="1097"/>
      <c r="AT254" s="1097"/>
      <c r="AU254" s="1097"/>
      <c r="AV254" s="1097"/>
      <c r="AW254" s="1097"/>
      <c r="AX254" s="1097"/>
      <c r="AY254" s="1097"/>
      <c r="AZ254" s="1097"/>
      <c r="BA254" s="1097"/>
      <c r="BB254" s="1097"/>
      <c r="BC254" s="1183"/>
      <c r="BD254" s="1183"/>
      <c r="BE254" s="1183"/>
      <c r="BF254" s="1183"/>
      <c r="BG254" s="1183"/>
      <c r="BH254" s="805">
        <f>I254</f>
        <v>12</v>
      </c>
      <c r="BI254" s="805">
        <f>I254</f>
        <v>12</v>
      </c>
      <c r="BJ254" s="805">
        <f>I254</f>
        <v>12</v>
      </c>
      <c r="BL254" s="1215"/>
      <c r="BM254" s="1215"/>
      <c r="BN254" s="1215"/>
      <c r="BO254" s="1215"/>
      <c r="BP254" s="1215"/>
      <c r="BQ254" s="1215"/>
      <c r="BT254" s="807">
        <f>AR254+AS254+AW254</f>
        <v>0</v>
      </c>
      <c r="BU254" s="807">
        <f>BD254+BE254+BG254</f>
        <v>0</v>
      </c>
      <c r="BV254" s="1214">
        <f>AI254+BV253</f>
        <v>1002402</v>
      </c>
      <c r="BW254" s="1214"/>
      <c r="BX254" s="1214"/>
      <c r="BY254" s="1216"/>
      <c r="BZ254" s="1214">
        <f>$BX$1+$BY$1+$BZ$1-BV254</f>
        <v>297598</v>
      </c>
      <c r="CA254" s="1215"/>
      <c r="CF254" s="1220"/>
      <c r="CG254" s="1220"/>
      <c r="CH254" s="1220"/>
      <c r="CI254" s="1220"/>
      <c r="CJ254" s="1220"/>
      <c r="CK254" s="1220"/>
      <c r="CL254" s="1220"/>
      <c r="CM254" s="1220"/>
      <c r="CN254" s="1220"/>
      <c r="CO254" s="1220"/>
      <c r="CP254" s="1220"/>
      <c r="CQ254" s="1220"/>
      <c r="CR254" s="1220"/>
      <c r="CS254" s="1220"/>
      <c r="CT254" s="1220"/>
      <c r="CU254" s="1220"/>
      <c r="CV254" s="1220"/>
      <c r="CW254" s="1220"/>
      <c r="CX254" s="1220"/>
      <c r="CY254" s="1220"/>
      <c r="CZ254" s="1220"/>
      <c r="DA254" s="1220"/>
    </row>
    <row r="255" s="1098" customFormat="1" ht="31" hidden="1" customHeight="1" spans="1:105">
      <c r="A255" s="1181">
        <v>46058</v>
      </c>
      <c r="B255" s="1182" t="s">
        <v>715</v>
      </c>
      <c r="C255" s="1183" t="s">
        <v>716</v>
      </c>
      <c r="D255" s="1097">
        <v>4500193215</v>
      </c>
      <c r="E255" s="1184" t="s">
        <v>1110</v>
      </c>
      <c r="F255" s="1097" t="s">
        <v>1111</v>
      </c>
      <c r="G255" s="1185" t="s">
        <v>375</v>
      </c>
      <c r="H255" s="1185" t="s">
        <v>376</v>
      </c>
      <c r="I255" s="1190">
        <v>12</v>
      </c>
      <c r="J255" s="1190">
        <v>0</v>
      </c>
      <c r="K255" s="1190">
        <v>12</v>
      </c>
      <c r="L255" s="1191">
        <f>I255/K255</f>
        <v>1</v>
      </c>
      <c r="M255" s="1192">
        <v>46127</v>
      </c>
      <c r="N255" s="1192">
        <v>46123</v>
      </c>
      <c r="O255" s="1184"/>
      <c r="P255" s="1193"/>
      <c r="Q255" s="1184"/>
      <c r="R255" s="1119">
        <v>46058</v>
      </c>
      <c r="S255" s="1199" t="s">
        <v>48</v>
      </c>
      <c r="T255" s="1199" t="s">
        <v>1106</v>
      </c>
      <c r="U255" s="1200" t="s">
        <v>1107</v>
      </c>
      <c r="V255" s="1201" t="s">
        <v>721</v>
      </c>
      <c r="W255" s="1202">
        <v>2.7354</v>
      </c>
      <c r="X255" s="1203">
        <f>W255*I255</f>
        <v>32.8248</v>
      </c>
      <c r="Y255" s="1184"/>
      <c r="Z255" s="285"/>
      <c r="AA255" s="1190"/>
      <c r="AB255" s="911"/>
      <c r="AC255" s="1184"/>
      <c r="AD255" s="1208"/>
      <c r="AE255" s="1130">
        <f>AD255-I255</f>
        <v>-12</v>
      </c>
      <c r="AF255" s="1209"/>
      <c r="AG255" s="1184"/>
      <c r="AH255" s="1184"/>
      <c r="AI255" s="1184">
        <f>I255*2</f>
        <v>24</v>
      </c>
      <c r="AJ255" s="1180"/>
      <c r="AK255" s="968"/>
      <c r="AL255" s="968">
        <f>I255*2</f>
        <v>24</v>
      </c>
      <c r="AM255" s="805">
        <f>I255*2</f>
        <v>24</v>
      </c>
      <c r="AN255" s="1097"/>
      <c r="AO255" s="1097"/>
      <c r="AP255" s="1097"/>
      <c r="AQ255" s="1097"/>
      <c r="AR255" s="1097"/>
      <c r="AS255" s="1097"/>
      <c r="AT255" s="1097"/>
      <c r="AU255" s="1097"/>
      <c r="AV255" s="1097"/>
      <c r="AW255" s="1097"/>
      <c r="AX255" s="1097"/>
      <c r="AY255" s="1097"/>
      <c r="AZ255" s="1097"/>
      <c r="BA255" s="1097"/>
      <c r="BB255" s="1097"/>
      <c r="BC255" s="1183"/>
      <c r="BD255" s="1183"/>
      <c r="BE255" s="1183"/>
      <c r="BF255" s="1183"/>
      <c r="BG255" s="1183"/>
      <c r="BH255" s="805">
        <f>I255</f>
        <v>12</v>
      </c>
      <c r="BI255" s="805">
        <f>I255</f>
        <v>12</v>
      </c>
      <c r="BJ255" s="805">
        <f>I255</f>
        <v>12</v>
      </c>
      <c r="BL255" s="1215"/>
      <c r="BM255" s="1215"/>
      <c r="BN255" s="1215"/>
      <c r="BO255" s="1215"/>
      <c r="BP255" s="1215"/>
      <c r="BQ255" s="1215"/>
      <c r="BT255" s="807">
        <f>AR255+AS255+AW255</f>
        <v>0</v>
      </c>
      <c r="BU255" s="807">
        <f>BD255+BE255+BG255</f>
        <v>0</v>
      </c>
      <c r="BV255" s="1214">
        <f>AI255+BV254</f>
        <v>1002426</v>
      </c>
      <c r="BW255" s="1214"/>
      <c r="BX255" s="1214"/>
      <c r="BY255" s="1216"/>
      <c r="BZ255" s="1214">
        <f>$BX$1+$BY$1+$BZ$1-BV255</f>
        <v>297574</v>
      </c>
      <c r="CA255" s="1215"/>
      <c r="CF255" s="1220"/>
      <c r="CG255" s="1220"/>
      <c r="CH255" s="1220"/>
      <c r="CI255" s="1220"/>
      <c r="CJ255" s="1220"/>
      <c r="CK255" s="1220"/>
      <c r="CL255" s="1220"/>
      <c r="CM255" s="1220"/>
      <c r="CN255" s="1220"/>
      <c r="CO255" s="1220"/>
      <c r="CP255" s="1220"/>
      <c r="CQ255" s="1220"/>
      <c r="CR255" s="1220"/>
      <c r="CS255" s="1220"/>
      <c r="CT255" s="1220"/>
      <c r="CU255" s="1220"/>
      <c r="CV255" s="1220"/>
      <c r="CW255" s="1220"/>
      <c r="CX255" s="1220"/>
      <c r="CY255" s="1220"/>
      <c r="CZ255" s="1220"/>
      <c r="DA255" s="1220"/>
    </row>
    <row r="256" s="802" customFormat="1" ht="31" customHeight="1" spans="1:105">
      <c r="A256" s="997"/>
      <c r="B256" s="999"/>
      <c r="C256" s="988"/>
      <c r="E256" s="999"/>
      <c r="G256" s="989"/>
      <c r="H256" s="916"/>
      <c r="I256" s="916"/>
      <c r="J256" s="916"/>
      <c r="K256" s="916"/>
      <c r="L256" s="1011"/>
      <c r="M256" s="843"/>
      <c r="N256" s="843"/>
      <c r="O256" s="830"/>
      <c r="P256" s="1014"/>
      <c r="Q256" s="830"/>
      <c r="R256" s="855"/>
      <c r="S256" s="855"/>
      <c r="T256" s="855"/>
      <c r="U256" s="856"/>
      <c r="V256" s="1012"/>
      <c r="W256" s="1032"/>
      <c r="X256" s="1033"/>
      <c r="Y256" s="830"/>
      <c r="Z256" s="830"/>
      <c r="AA256" s="916"/>
      <c r="AB256" s="916"/>
      <c r="AC256" s="830"/>
      <c r="AD256" s="1041"/>
      <c r="AE256" s="1041"/>
      <c r="AF256" s="1042"/>
      <c r="AG256" s="994"/>
      <c r="AH256" s="830"/>
      <c r="AI256" s="830"/>
      <c r="AJ256" s="808"/>
      <c r="AK256" s="808"/>
      <c r="AL256" s="808"/>
      <c r="BC256" s="998"/>
      <c r="BD256" s="998"/>
      <c r="BE256" s="998"/>
      <c r="BF256" s="998"/>
      <c r="BG256" s="998"/>
      <c r="BL256" s="888"/>
      <c r="BM256" s="888"/>
      <c r="BN256" s="888"/>
      <c r="BO256" s="888"/>
      <c r="BP256" s="888"/>
      <c r="BQ256" s="888"/>
      <c r="BV256" s="888"/>
      <c r="BW256" s="888"/>
      <c r="BX256" s="889"/>
      <c r="BY256" s="889"/>
      <c r="BZ256" s="889"/>
      <c r="CA256" s="888"/>
      <c r="CF256" s="1056"/>
      <c r="CG256" s="1056"/>
      <c r="CH256" s="1056"/>
      <c r="CI256" s="1056"/>
      <c r="CJ256" s="1056"/>
      <c r="CK256" s="1056"/>
      <c r="CL256" s="1056"/>
      <c r="CM256" s="1056"/>
      <c r="CN256" s="1056"/>
      <c r="CO256" s="1056"/>
      <c r="CP256" s="1056"/>
      <c r="CQ256" s="1056"/>
      <c r="CR256" s="1056"/>
      <c r="CS256" s="1056"/>
      <c r="CT256" s="1056"/>
      <c r="CU256" s="1056"/>
      <c r="CV256" s="1056"/>
      <c r="CW256" s="1056"/>
      <c r="CX256" s="1056"/>
      <c r="CY256" s="1056"/>
      <c r="CZ256" s="1056"/>
      <c r="DA256" s="1056"/>
    </row>
    <row r="257" s="802" customFormat="1" ht="31" customHeight="1" spans="1:105">
      <c r="A257" s="997"/>
      <c r="B257" s="999"/>
      <c r="C257" s="988"/>
      <c r="E257" s="999"/>
      <c r="G257" s="989"/>
      <c r="H257" s="916"/>
      <c r="I257" s="916"/>
      <c r="J257" s="916"/>
      <c r="K257" s="916"/>
      <c r="L257" s="1011"/>
      <c r="M257" s="843"/>
      <c r="N257" s="843"/>
      <c r="O257" s="830"/>
      <c r="P257" s="1014"/>
      <c r="Q257" s="830"/>
      <c r="R257" s="855"/>
      <c r="S257" s="855"/>
      <c r="T257" s="855"/>
      <c r="U257" s="856"/>
      <c r="V257" s="1012"/>
      <c r="W257" s="1032"/>
      <c r="X257" s="1033"/>
      <c r="Y257" s="830"/>
      <c r="Z257" s="830"/>
      <c r="AA257" s="916"/>
      <c r="AB257" s="916"/>
      <c r="AC257" s="830"/>
      <c r="AD257" s="1041"/>
      <c r="AE257" s="1041"/>
      <c r="AF257" s="1042"/>
      <c r="AG257" s="994"/>
      <c r="AH257" s="830"/>
      <c r="AI257" s="830"/>
      <c r="AJ257" s="808"/>
      <c r="AK257" s="808"/>
      <c r="AL257" s="808"/>
      <c r="BC257" s="998"/>
      <c r="BD257" s="998"/>
      <c r="BE257" s="998"/>
      <c r="BF257" s="998"/>
      <c r="BG257" s="998"/>
      <c r="BL257" s="888"/>
      <c r="BM257" s="888"/>
      <c r="BN257" s="888"/>
      <c r="BO257" s="888"/>
      <c r="BP257" s="888"/>
      <c r="BQ257" s="888"/>
      <c r="BV257" s="888"/>
      <c r="BW257" s="888"/>
      <c r="BX257" s="889"/>
      <c r="BY257" s="889"/>
      <c r="BZ257" s="889"/>
      <c r="CA257" s="888"/>
      <c r="CF257" s="1056"/>
      <c r="CG257" s="1056"/>
      <c r="CH257" s="1056"/>
      <c r="CI257" s="1056"/>
      <c r="CJ257" s="1056"/>
      <c r="CK257" s="1056"/>
      <c r="CL257" s="1056"/>
      <c r="CM257" s="1056"/>
      <c r="CN257" s="1056"/>
      <c r="CO257" s="1056"/>
      <c r="CP257" s="1056"/>
      <c r="CQ257" s="1056"/>
      <c r="CR257" s="1056"/>
      <c r="CS257" s="1056"/>
      <c r="CT257" s="1056"/>
      <c r="CU257" s="1056"/>
      <c r="CV257" s="1056"/>
      <c r="CW257" s="1056"/>
      <c r="CX257" s="1056"/>
      <c r="CY257" s="1056"/>
      <c r="CZ257" s="1056"/>
      <c r="DA257" s="1056"/>
    </row>
    <row r="258" s="802" customFormat="1" ht="31" customHeight="1" spans="1:105">
      <c r="A258" s="997"/>
      <c r="B258" s="871"/>
      <c r="C258" s="998"/>
      <c r="E258" s="830"/>
      <c r="F258" s="856"/>
      <c r="G258" s="989"/>
      <c r="H258" s="916"/>
      <c r="I258" s="916"/>
      <c r="J258" s="916"/>
      <c r="K258" s="916"/>
      <c r="L258" s="1011"/>
      <c r="M258" s="843"/>
      <c r="N258" s="843"/>
      <c r="O258" s="830"/>
      <c r="P258" s="1014"/>
      <c r="Q258" s="830"/>
      <c r="R258" s="855"/>
      <c r="S258" s="855"/>
      <c r="T258" s="855"/>
      <c r="U258" s="856"/>
      <c r="V258" s="1012"/>
      <c r="W258" s="1032"/>
      <c r="X258" s="1033"/>
      <c r="Y258" s="830"/>
      <c r="Z258" s="830"/>
      <c r="AA258" s="916"/>
      <c r="AB258" s="916"/>
      <c r="AC258" s="830"/>
      <c r="AD258" s="1041"/>
      <c r="AE258" s="1041"/>
      <c r="AF258" s="1042"/>
      <c r="AG258" s="994"/>
      <c r="AH258" s="830"/>
      <c r="AI258" s="830"/>
      <c r="AJ258" s="808"/>
      <c r="AK258" s="808"/>
      <c r="AL258" s="808"/>
      <c r="BC258" s="998"/>
      <c r="BD258" s="998"/>
      <c r="BE258" s="998"/>
      <c r="BF258" s="998"/>
      <c r="BG258" s="998"/>
      <c r="BL258" s="888"/>
      <c r="BM258" s="888"/>
      <c r="BN258" s="888"/>
      <c r="BO258" s="888"/>
      <c r="BP258" s="888"/>
      <c r="BQ258" s="888"/>
      <c r="BV258" s="888"/>
      <c r="BW258" s="888"/>
      <c r="BX258" s="888"/>
      <c r="BY258" s="888"/>
      <c r="BZ258" s="888"/>
      <c r="CA258" s="888"/>
      <c r="CF258" s="1056"/>
      <c r="CG258" s="1056"/>
      <c r="CH258" s="1056"/>
      <c r="CI258" s="1056"/>
      <c r="CJ258" s="1056"/>
      <c r="CK258" s="1056"/>
      <c r="CL258" s="1056"/>
      <c r="CM258" s="1056"/>
      <c r="CN258" s="1056"/>
      <c r="CO258" s="1056"/>
      <c r="CP258" s="1056"/>
      <c r="CQ258" s="1056"/>
      <c r="CR258" s="1056"/>
      <c r="CS258" s="1056"/>
      <c r="CT258" s="1056"/>
      <c r="CU258" s="1056"/>
      <c r="CV258" s="1056"/>
      <c r="CW258" s="1056"/>
      <c r="CX258" s="1056"/>
      <c r="CY258" s="1056"/>
      <c r="CZ258" s="1056"/>
      <c r="DA258" s="1056"/>
    </row>
    <row r="259" s="809" customFormat="1" ht="31" customHeight="1" spans="1:105">
      <c r="A259" s="991"/>
      <c r="B259" s="992"/>
      <c r="C259" s="993"/>
      <c r="E259" s="994"/>
      <c r="G259" s="995"/>
      <c r="H259" s="996"/>
      <c r="I259" s="996"/>
      <c r="J259" s="996"/>
      <c r="K259" s="996"/>
      <c r="L259" s="1015"/>
      <c r="M259" s="843"/>
      <c r="N259" s="1018"/>
      <c r="O259" s="994"/>
      <c r="P259" s="1014"/>
      <c r="Q259" s="830"/>
      <c r="R259" s="855"/>
      <c r="S259" s="855"/>
      <c r="T259" s="855"/>
      <c r="U259" s="856"/>
      <c r="V259" s="1012"/>
      <c r="W259" s="1032"/>
      <c r="X259" s="1033"/>
      <c r="Y259" s="830"/>
      <c r="Z259" s="830"/>
      <c r="AA259" s="916"/>
      <c r="AB259" s="916"/>
      <c r="AC259" s="830"/>
      <c r="AD259" s="1041"/>
      <c r="AE259" s="1077"/>
      <c r="AF259" s="1078"/>
      <c r="AG259" s="994"/>
      <c r="AH259" s="994"/>
      <c r="AI259" s="994"/>
      <c r="AJ259" s="1034"/>
      <c r="AK259" s="1034"/>
      <c r="AL259" s="1034"/>
      <c r="BC259" s="993"/>
      <c r="BD259" s="993"/>
      <c r="BE259" s="993"/>
      <c r="BF259" s="993"/>
      <c r="BG259" s="993"/>
      <c r="BL259" s="889"/>
      <c r="BM259" s="889"/>
      <c r="BN259" s="889"/>
      <c r="BO259" s="889"/>
      <c r="BP259" s="889"/>
      <c r="BQ259" s="889"/>
      <c r="BV259" s="889"/>
      <c r="BW259" s="889"/>
      <c r="BX259" s="888"/>
      <c r="BY259" s="888"/>
      <c r="BZ259" s="888"/>
      <c r="CA259" s="889"/>
      <c r="CF259" s="1055"/>
      <c r="CG259" s="1055"/>
      <c r="CH259" s="1055"/>
      <c r="CI259" s="1055"/>
      <c r="CJ259" s="1055"/>
      <c r="CK259" s="1055"/>
      <c r="CL259" s="1055"/>
      <c r="CM259" s="1055"/>
      <c r="CN259" s="1055"/>
      <c r="CO259" s="1055"/>
      <c r="CP259" s="1055"/>
      <c r="CQ259" s="1055"/>
      <c r="CR259" s="1055"/>
      <c r="CS259" s="1055"/>
      <c r="CT259" s="1055"/>
      <c r="CU259" s="1055"/>
      <c r="CV259" s="1055"/>
      <c r="CW259" s="1055"/>
      <c r="CX259" s="1055"/>
      <c r="CY259" s="1055"/>
      <c r="CZ259" s="1055"/>
      <c r="DA259" s="1055"/>
    </row>
    <row r="260" s="809" customFormat="1" ht="31" customHeight="1" spans="1:105">
      <c r="A260" s="991"/>
      <c r="B260" s="992"/>
      <c r="C260" s="993"/>
      <c r="E260" s="994"/>
      <c r="G260" s="995"/>
      <c r="H260" s="996"/>
      <c r="I260" s="996"/>
      <c r="J260" s="996"/>
      <c r="K260" s="996"/>
      <c r="L260" s="1015"/>
      <c r="M260" s="843"/>
      <c r="N260" s="1018"/>
      <c r="O260" s="994"/>
      <c r="P260" s="1014"/>
      <c r="Q260" s="994"/>
      <c r="R260" s="1045"/>
      <c r="S260" s="1045"/>
      <c r="T260" s="1045"/>
      <c r="U260" s="1046"/>
      <c r="V260" s="1047"/>
      <c r="W260" s="1048"/>
      <c r="X260" s="1049"/>
      <c r="Y260" s="994"/>
      <c r="Z260" s="994"/>
      <c r="AA260" s="996"/>
      <c r="AB260" s="996"/>
      <c r="AC260" s="994"/>
      <c r="AD260" s="1077"/>
      <c r="AE260" s="1077"/>
      <c r="AF260" s="1078"/>
      <c r="AG260" s="994"/>
      <c r="AH260" s="994"/>
      <c r="AI260" s="994"/>
      <c r="AJ260" s="1034"/>
      <c r="AK260" s="1034"/>
      <c r="AL260" s="1034"/>
      <c r="BC260" s="993"/>
      <c r="BD260" s="993"/>
      <c r="BE260" s="993"/>
      <c r="BF260" s="993"/>
      <c r="BG260" s="993"/>
      <c r="BL260" s="889"/>
      <c r="BM260" s="889"/>
      <c r="BN260" s="889"/>
      <c r="BO260" s="889"/>
      <c r="BP260" s="889"/>
      <c r="BQ260" s="889"/>
      <c r="BV260" s="889"/>
      <c r="BW260" s="889"/>
      <c r="BX260" s="888"/>
      <c r="BY260" s="888"/>
      <c r="BZ260" s="888"/>
      <c r="CA260" s="889"/>
      <c r="CF260" s="1055"/>
      <c r="CG260" s="1055"/>
      <c r="CH260" s="1055"/>
      <c r="CI260" s="1055"/>
      <c r="CJ260" s="1055"/>
      <c r="CK260" s="1055"/>
      <c r="CL260" s="1055"/>
      <c r="CM260" s="1055"/>
      <c r="CN260" s="1055"/>
      <c r="CO260" s="1055"/>
      <c r="CP260" s="1055"/>
      <c r="CQ260" s="1055"/>
      <c r="CR260" s="1055"/>
      <c r="CS260" s="1055"/>
      <c r="CT260" s="1055"/>
      <c r="CU260" s="1055"/>
      <c r="CV260" s="1055"/>
      <c r="CW260" s="1055"/>
      <c r="CX260" s="1055"/>
      <c r="CY260" s="1055"/>
      <c r="CZ260" s="1055"/>
      <c r="DA260" s="1055"/>
    </row>
    <row r="261" s="802" customFormat="1" ht="31" customHeight="1" spans="1:105">
      <c r="A261" s="997"/>
      <c r="B261" s="871"/>
      <c r="C261" s="998"/>
      <c r="E261" s="830"/>
      <c r="G261" s="989"/>
      <c r="H261" s="916"/>
      <c r="I261" s="916"/>
      <c r="J261" s="916"/>
      <c r="K261" s="916"/>
      <c r="L261" s="1011"/>
      <c r="M261" s="843"/>
      <c r="N261" s="843"/>
      <c r="O261" s="830"/>
      <c r="P261" s="1014"/>
      <c r="Q261" s="830"/>
      <c r="R261" s="855"/>
      <c r="S261" s="855"/>
      <c r="T261" s="855"/>
      <c r="U261" s="856"/>
      <c r="V261" s="1012"/>
      <c r="W261" s="1032"/>
      <c r="X261" s="1033"/>
      <c r="Y261" s="830"/>
      <c r="Z261" s="830"/>
      <c r="AA261" s="916"/>
      <c r="AB261" s="916"/>
      <c r="AC261" s="830"/>
      <c r="AD261" s="1041"/>
      <c r="AE261" s="1041"/>
      <c r="AF261" s="1042"/>
      <c r="AG261" s="830"/>
      <c r="AH261" s="830"/>
      <c r="AI261" s="830"/>
      <c r="AJ261" s="808"/>
      <c r="AK261" s="808"/>
      <c r="AL261" s="808"/>
      <c r="BC261" s="998"/>
      <c r="BD261" s="998"/>
      <c r="BE261" s="998"/>
      <c r="BF261" s="998"/>
      <c r="BG261" s="998"/>
      <c r="BL261" s="888"/>
      <c r="BM261" s="888"/>
      <c r="BN261" s="888"/>
      <c r="BO261" s="888"/>
      <c r="BP261" s="888"/>
      <c r="BQ261" s="888"/>
      <c r="BV261" s="888"/>
      <c r="BW261" s="888"/>
      <c r="BX261" s="888"/>
      <c r="BY261" s="888"/>
      <c r="BZ261" s="888"/>
      <c r="CA261" s="888"/>
      <c r="CF261" s="1056"/>
      <c r="CG261" s="1056"/>
      <c r="CH261" s="1056"/>
      <c r="CI261" s="1056"/>
      <c r="CJ261" s="1056"/>
      <c r="CK261" s="1056"/>
      <c r="CL261" s="1056"/>
      <c r="CM261" s="1056"/>
      <c r="CN261" s="1056"/>
      <c r="CO261" s="1056"/>
      <c r="CP261" s="1056"/>
      <c r="CQ261" s="1056"/>
      <c r="CR261" s="1056"/>
      <c r="CS261" s="1056"/>
      <c r="CT261" s="1056"/>
      <c r="CU261" s="1056"/>
      <c r="CV261" s="1056"/>
      <c r="CW261" s="1056"/>
      <c r="CX261" s="1056"/>
      <c r="CY261" s="1056"/>
      <c r="CZ261" s="1056"/>
      <c r="DA261" s="1056"/>
    </row>
    <row r="262" s="802" customFormat="1" ht="31" customHeight="1" spans="1:105">
      <c r="A262" s="997"/>
      <c r="B262" s="999"/>
      <c r="C262" s="988"/>
      <c r="E262" s="999"/>
      <c r="G262" s="989"/>
      <c r="H262" s="916"/>
      <c r="I262" s="916"/>
      <c r="J262" s="916"/>
      <c r="K262" s="916"/>
      <c r="L262" s="1011"/>
      <c r="M262" s="843"/>
      <c r="N262" s="843"/>
      <c r="O262" s="830"/>
      <c r="P262" s="1014"/>
      <c r="Q262" s="830"/>
      <c r="R262" s="855"/>
      <c r="S262" s="855"/>
      <c r="T262" s="855"/>
      <c r="U262" s="856"/>
      <c r="V262" s="843"/>
      <c r="W262" s="1032"/>
      <c r="X262" s="1033"/>
      <c r="Y262" s="830"/>
      <c r="Z262" s="830"/>
      <c r="AA262" s="989"/>
      <c r="AB262" s="916"/>
      <c r="AC262" s="830"/>
      <c r="AD262" s="1041"/>
      <c r="AE262" s="1041"/>
      <c r="AF262" s="1042"/>
      <c r="AG262" s="830"/>
      <c r="AH262" s="830"/>
      <c r="AI262" s="830"/>
      <c r="AJ262" s="808"/>
      <c r="AK262" s="808"/>
      <c r="AL262" s="808"/>
      <c r="BC262" s="998"/>
      <c r="BD262" s="998"/>
      <c r="BE262" s="998"/>
      <c r="BF262" s="998"/>
      <c r="BG262" s="998"/>
      <c r="BL262" s="888"/>
      <c r="BM262" s="888"/>
      <c r="BN262" s="888"/>
      <c r="BO262" s="888"/>
      <c r="BP262" s="888"/>
      <c r="BQ262" s="888"/>
      <c r="BV262" s="888"/>
      <c r="BW262" s="888"/>
      <c r="BX262" s="888"/>
      <c r="BY262" s="888"/>
      <c r="BZ262" s="888"/>
      <c r="CA262" s="888"/>
      <c r="CF262" s="1056"/>
      <c r="CG262" s="1056"/>
      <c r="CH262" s="1056"/>
      <c r="CI262" s="1056"/>
      <c r="CJ262" s="1056"/>
      <c r="CK262" s="1056"/>
      <c r="CL262" s="1056"/>
      <c r="CM262" s="1056"/>
      <c r="CN262" s="1056"/>
      <c r="CO262" s="1056"/>
      <c r="CP262" s="1056"/>
      <c r="CQ262" s="1056"/>
      <c r="CR262" s="1056"/>
      <c r="CS262" s="1056"/>
      <c r="CT262" s="1056"/>
      <c r="CU262" s="1056"/>
      <c r="CV262" s="1056"/>
      <c r="CW262" s="1056"/>
      <c r="CX262" s="1056"/>
      <c r="CY262" s="1056"/>
      <c r="CZ262" s="1056"/>
      <c r="DA262" s="1056"/>
    </row>
    <row r="263" s="802" customFormat="1" ht="31" customHeight="1" spans="1:105">
      <c r="A263" s="997"/>
      <c r="B263" s="871"/>
      <c r="C263" s="998"/>
      <c r="E263" s="830"/>
      <c r="G263" s="989"/>
      <c r="H263" s="916"/>
      <c r="I263" s="916"/>
      <c r="J263" s="916"/>
      <c r="K263" s="916"/>
      <c r="L263" s="1011"/>
      <c r="M263" s="843"/>
      <c r="N263" s="843"/>
      <c r="O263" s="830"/>
      <c r="P263" s="1014"/>
      <c r="Q263" s="830"/>
      <c r="R263" s="855"/>
      <c r="S263" s="855"/>
      <c r="T263" s="855"/>
      <c r="U263" s="856"/>
      <c r="V263" s="1012"/>
      <c r="W263" s="1032"/>
      <c r="X263" s="1033"/>
      <c r="Y263" s="830"/>
      <c r="Z263" s="830"/>
      <c r="AA263" s="989"/>
      <c r="AB263" s="916"/>
      <c r="AC263" s="830"/>
      <c r="AD263" s="1041"/>
      <c r="AE263" s="1041" t="s">
        <v>53</v>
      </c>
      <c r="AF263" s="1042"/>
      <c r="AG263" s="830"/>
      <c r="AH263" s="830"/>
      <c r="AI263" s="830"/>
      <c r="AJ263" s="808"/>
      <c r="AK263" s="808"/>
      <c r="AL263" s="808"/>
      <c r="BC263" s="998"/>
      <c r="BD263" s="998"/>
      <c r="BE263" s="998"/>
      <c r="BF263" s="998"/>
      <c r="BG263" s="998"/>
      <c r="BL263" s="888"/>
      <c r="BM263" s="888"/>
      <c r="BN263" s="888"/>
      <c r="BO263" s="888"/>
      <c r="BP263" s="888"/>
      <c r="BQ263" s="888"/>
      <c r="BV263" s="888"/>
      <c r="BW263" s="888"/>
      <c r="BX263" s="888"/>
      <c r="BY263" s="888"/>
      <c r="BZ263" s="888"/>
      <c r="CA263" s="888"/>
      <c r="CF263" s="1056"/>
      <c r="CG263" s="1056"/>
      <c r="CH263" s="1056"/>
      <c r="CI263" s="1056"/>
      <c r="CJ263" s="1056"/>
      <c r="CK263" s="1056"/>
      <c r="CL263" s="1056"/>
      <c r="CM263" s="1056"/>
      <c r="CN263" s="1056"/>
      <c r="CO263" s="1056"/>
      <c r="CP263" s="1056"/>
      <c r="CQ263" s="1056"/>
      <c r="CR263" s="1056"/>
      <c r="CS263" s="1056"/>
      <c r="CT263" s="1056"/>
      <c r="CU263" s="1056"/>
      <c r="CV263" s="1056"/>
      <c r="CW263" s="1056"/>
      <c r="CX263" s="1056"/>
      <c r="CY263" s="1056"/>
      <c r="CZ263" s="1056"/>
      <c r="DA263" s="1056"/>
    </row>
    <row r="264" s="802" customFormat="1" ht="31" customHeight="1" spans="1:79">
      <c r="A264" s="997"/>
      <c r="B264" s="856"/>
      <c r="C264" s="830"/>
      <c r="E264" s="830"/>
      <c r="F264" s="830"/>
      <c r="G264" s="843"/>
      <c r="H264" s="830"/>
      <c r="I264" s="830"/>
      <c r="J264" s="830"/>
      <c r="K264" s="830"/>
      <c r="L264" s="842"/>
      <c r="M264" s="843"/>
      <c r="N264" s="843"/>
      <c r="O264" s="830"/>
      <c r="P264" s="844"/>
      <c r="Q264" s="830"/>
      <c r="R264" s="951"/>
      <c r="S264" s="951"/>
      <c r="T264" s="951"/>
      <c r="V264" s="843"/>
      <c r="W264" s="1073"/>
      <c r="X264" s="859"/>
      <c r="Y264" s="830"/>
      <c r="Z264" s="830"/>
      <c r="AA264" s="830"/>
      <c r="AB264" s="830"/>
      <c r="AC264" s="830"/>
      <c r="AD264" s="1079"/>
      <c r="AE264" s="1079"/>
      <c r="AF264" s="871"/>
      <c r="AG264" s="994"/>
      <c r="AH264" s="830"/>
      <c r="AI264" s="830"/>
      <c r="BL264" s="888"/>
      <c r="BM264" s="888"/>
      <c r="BN264" s="888"/>
      <c r="BO264" s="888"/>
      <c r="BP264" s="888"/>
      <c r="BQ264" s="888"/>
      <c r="BV264" s="888"/>
      <c r="BW264" s="888"/>
      <c r="BX264" s="888"/>
      <c r="BY264" s="888"/>
      <c r="BZ264" s="888"/>
      <c r="CA264" s="888"/>
    </row>
    <row r="265" s="802" customFormat="1" ht="31" customHeight="1" spans="1:79">
      <c r="A265" s="997"/>
      <c r="B265" s="856"/>
      <c r="C265" s="830"/>
      <c r="E265" s="830"/>
      <c r="F265" s="830"/>
      <c r="G265" s="1057"/>
      <c r="H265" s="830"/>
      <c r="I265" s="830"/>
      <c r="J265" s="830"/>
      <c r="K265" s="830"/>
      <c r="L265" s="842"/>
      <c r="M265" s="843"/>
      <c r="N265" s="843"/>
      <c r="O265" s="830"/>
      <c r="P265" s="844"/>
      <c r="Q265" s="830"/>
      <c r="R265" s="951"/>
      <c r="S265" s="951"/>
      <c r="T265" s="951"/>
      <c r="V265" s="843"/>
      <c r="W265" s="1073"/>
      <c r="X265" s="859"/>
      <c r="Y265" s="830"/>
      <c r="Z265" s="830"/>
      <c r="AA265" s="830"/>
      <c r="AB265" s="830"/>
      <c r="AC265" s="830"/>
      <c r="AD265" s="1041"/>
      <c r="AE265" s="1041"/>
      <c r="AF265" s="870"/>
      <c r="AG265" s="994"/>
      <c r="AH265" s="830"/>
      <c r="AI265" s="830"/>
      <c r="BL265" s="888"/>
      <c r="BM265" s="888"/>
      <c r="BN265" s="888"/>
      <c r="BO265" s="888"/>
      <c r="BP265" s="888"/>
      <c r="BQ265" s="888"/>
      <c r="BV265" s="888"/>
      <c r="BW265" s="888"/>
      <c r="BX265" s="888"/>
      <c r="BY265" s="888"/>
      <c r="BZ265" s="888"/>
      <c r="CA265" s="888"/>
    </row>
    <row r="266" s="802" customFormat="1" ht="31" customHeight="1" spans="1:79">
      <c r="A266" s="997"/>
      <c r="B266" s="856"/>
      <c r="C266" s="830"/>
      <c r="E266" s="830"/>
      <c r="F266" s="830"/>
      <c r="G266" s="1057"/>
      <c r="H266" s="830"/>
      <c r="I266" s="830"/>
      <c r="J266" s="830"/>
      <c r="K266" s="830"/>
      <c r="L266" s="842"/>
      <c r="M266" s="843"/>
      <c r="N266" s="843"/>
      <c r="O266" s="830"/>
      <c r="P266" s="844"/>
      <c r="Q266" s="830"/>
      <c r="R266" s="855"/>
      <c r="S266" s="951"/>
      <c r="T266" s="855"/>
      <c r="V266" s="843"/>
      <c r="W266" s="1074"/>
      <c r="X266" s="859"/>
      <c r="Y266" s="830"/>
      <c r="Z266" s="830"/>
      <c r="AA266" s="830"/>
      <c r="AB266" s="830"/>
      <c r="AC266" s="830"/>
      <c r="AD266" s="844"/>
      <c r="AE266" s="844"/>
      <c r="AF266" s="830"/>
      <c r="AG266" s="994"/>
      <c r="AH266" s="830"/>
      <c r="AI266" s="830"/>
      <c r="BL266" s="888"/>
      <c r="BM266" s="888"/>
      <c r="BN266" s="888"/>
      <c r="BO266" s="888"/>
      <c r="BP266" s="888"/>
      <c r="BQ266" s="888"/>
      <c r="BV266" s="888"/>
      <c r="BW266" s="888"/>
      <c r="BX266" s="888"/>
      <c r="BY266" s="888"/>
      <c r="BZ266" s="888"/>
      <c r="CA266" s="888"/>
    </row>
    <row r="267" s="802" customFormat="1" ht="31" customHeight="1" spans="1:79">
      <c r="A267" s="997"/>
      <c r="B267" s="856"/>
      <c r="C267" s="830"/>
      <c r="E267" s="830"/>
      <c r="F267" s="830"/>
      <c r="G267" s="843"/>
      <c r="H267" s="830"/>
      <c r="I267" s="830"/>
      <c r="J267" s="830"/>
      <c r="K267" s="830"/>
      <c r="L267" s="842"/>
      <c r="M267" s="843"/>
      <c r="N267" s="843"/>
      <c r="O267" s="830"/>
      <c r="P267" s="844"/>
      <c r="Q267" s="830"/>
      <c r="R267" s="951"/>
      <c r="S267" s="951"/>
      <c r="T267" s="951"/>
      <c r="V267" s="843"/>
      <c r="W267" s="1073"/>
      <c r="X267" s="859"/>
      <c r="Y267" s="830"/>
      <c r="Z267" s="830"/>
      <c r="AA267" s="830"/>
      <c r="AB267" s="830"/>
      <c r="AC267" s="830"/>
      <c r="AD267" s="844"/>
      <c r="AE267" s="844"/>
      <c r="AF267" s="830"/>
      <c r="AG267" s="994"/>
      <c r="AH267" s="830"/>
      <c r="AI267" s="830"/>
      <c r="BL267" s="888"/>
      <c r="BM267" s="888"/>
      <c r="BN267" s="888"/>
      <c r="BO267" s="888"/>
      <c r="BP267" s="888"/>
      <c r="BQ267" s="888"/>
      <c r="BV267" s="888"/>
      <c r="BW267" s="888"/>
      <c r="BX267" s="888"/>
      <c r="BY267" s="888"/>
      <c r="BZ267" s="888"/>
      <c r="CA267" s="888"/>
    </row>
    <row r="268" s="802" customFormat="1" ht="31" customHeight="1" spans="1:79">
      <c r="A268" s="997"/>
      <c r="B268" s="856"/>
      <c r="C268" s="830"/>
      <c r="E268" s="830"/>
      <c r="F268" s="830"/>
      <c r="G268" s="843"/>
      <c r="H268" s="830"/>
      <c r="I268" s="830"/>
      <c r="J268" s="830"/>
      <c r="K268" s="830"/>
      <c r="L268" s="842"/>
      <c r="M268" s="843"/>
      <c r="N268" s="843"/>
      <c r="O268" s="830"/>
      <c r="P268" s="844"/>
      <c r="Q268" s="830"/>
      <c r="R268" s="951"/>
      <c r="S268" s="951"/>
      <c r="T268" s="951"/>
      <c r="V268" s="843"/>
      <c r="W268" s="1073"/>
      <c r="X268" s="859"/>
      <c r="Y268" s="830"/>
      <c r="Z268" s="830"/>
      <c r="AA268" s="830"/>
      <c r="AB268" s="830"/>
      <c r="AC268" s="830"/>
      <c r="AD268" s="844"/>
      <c r="AE268" s="844"/>
      <c r="AF268" s="830"/>
      <c r="AG268" s="994"/>
      <c r="AH268" s="830"/>
      <c r="AI268" s="830"/>
      <c r="BL268" s="888"/>
      <c r="BM268" s="888"/>
      <c r="BN268" s="888"/>
      <c r="BO268" s="888"/>
      <c r="BP268" s="888"/>
      <c r="BQ268" s="888"/>
      <c r="BV268" s="888"/>
      <c r="BW268" s="888"/>
      <c r="BX268" s="888"/>
      <c r="BY268" s="888"/>
      <c r="BZ268" s="888"/>
      <c r="CA268" s="888"/>
    </row>
    <row r="269" s="802" customFormat="1" ht="31" customHeight="1" spans="1:79">
      <c r="A269" s="997"/>
      <c r="B269" s="856"/>
      <c r="C269" s="830"/>
      <c r="E269" s="830"/>
      <c r="F269" s="830"/>
      <c r="G269" s="843"/>
      <c r="H269" s="830"/>
      <c r="I269" s="830"/>
      <c r="J269" s="830"/>
      <c r="K269" s="830"/>
      <c r="L269" s="842"/>
      <c r="M269" s="843"/>
      <c r="N269" s="843"/>
      <c r="O269" s="830"/>
      <c r="P269" s="844"/>
      <c r="Q269" s="830"/>
      <c r="R269" s="951"/>
      <c r="S269" s="951"/>
      <c r="T269" s="951"/>
      <c r="V269" s="843"/>
      <c r="W269" s="1073"/>
      <c r="X269" s="859"/>
      <c r="Y269" s="830"/>
      <c r="Z269" s="830"/>
      <c r="AA269" s="830"/>
      <c r="AB269" s="830"/>
      <c r="AC269" s="830"/>
      <c r="AD269" s="844"/>
      <c r="AE269" s="844"/>
      <c r="AF269" s="830"/>
      <c r="AG269" s="994"/>
      <c r="AH269" s="830"/>
      <c r="AI269" s="830"/>
      <c r="BL269" s="888"/>
      <c r="BM269" s="888"/>
      <c r="BN269" s="888"/>
      <c r="BO269" s="888"/>
      <c r="BP269" s="888"/>
      <c r="BQ269" s="888"/>
      <c r="BV269" s="888"/>
      <c r="BW269" s="888"/>
      <c r="BX269" s="888"/>
      <c r="BY269" s="888"/>
      <c r="BZ269" s="888"/>
      <c r="CA269" s="888"/>
    </row>
    <row r="270" s="802" customFormat="1" ht="31" customHeight="1" spans="1:79">
      <c r="A270" s="997"/>
      <c r="B270" s="856"/>
      <c r="C270" s="830"/>
      <c r="E270" s="830"/>
      <c r="F270" s="830"/>
      <c r="G270" s="843"/>
      <c r="H270" s="830"/>
      <c r="I270" s="830"/>
      <c r="J270" s="830"/>
      <c r="K270" s="830"/>
      <c r="L270" s="842"/>
      <c r="M270" s="843"/>
      <c r="N270" s="843"/>
      <c r="O270" s="830"/>
      <c r="P270" s="844"/>
      <c r="Q270" s="830"/>
      <c r="R270" s="951"/>
      <c r="S270" s="951"/>
      <c r="T270" s="951"/>
      <c r="V270" s="843"/>
      <c r="W270" s="1073"/>
      <c r="X270" s="859"/>
      <c r="Y270" s="830"/>
      <c r="Z270" s="830"/>
      <c r="AA270" s="830"/>
      <c r="AB270" s="830"/>
      <c r="AC270" s="830"/>
      <c r="AD270" s="844"/>
      <c r="AE270" s="844"/>
      <c r="AF270" s="830"/>
      <c r="AG270" s="994"/>
      <c r="AH270" s="830"/>
      <c r="AI270" s="830"/>
      <c r="BL270" s="888"/>
      <c r="BM270" s="888"/>
      <c r="BN270" s="888"/>
      <c r="BO270" s="888"/>
      <c r="BP270" s="888"/>
      <c r="BQ270" s="888"/>
      <c r="BV270" s="888"/>
      <c r="BW270" s="888"/>
      <c r="BX270" s="888"/>
      <c r="BY270" s="888"/>
      <c r="BZ270" s="888"/>
      <c r="CA270" s="888"/>
    </row>
    <row r="271" s="802" customFormat="1" ht="31" customHeight="1" spans="1:79">
      <c r="A271" s="997"/>
      <c r="B271" s="856"/>
      <c r="C271" s="830"/>
      <c r="E271" s="830"/>
      <c r="F271" s="830"/>
      <c r="G271" s="843"/>
      <c r="H271" s="830"/>
      <c r="I271" s="830"/>
      <c r="J271" s="830"/>
      <c r="K271" s="830"/>
      <c r="L271" s="842"/>
      <c r="M271" s="843"/>
      <c r="N271" s="843"/>
      <c r="O271" s="830"/>
      <c r="P271" s="844"/>
      <c r="Q271" s="830"/>
      <c r="R271" s="951"/>
      <c r="S271" s="951"/>
      <c r="T271" s="951"/>
      <c r="V271" s="843"/>
      <c r="W271" s="1073"/>
      <c r="X271" s="859"/>
      <c r="Y271" s="830"/>
      <c r="Z271" s="830"/>
      <c r="AA271" s="830"/>
      <c r="AB271" s="830"/>
      <c r="AC271" s="830"/>
      <c r="AD271" s="844"/>
      <c r="AE271" s="844"/>
      <c r="AF271" s="830"/>
      <c r="AG271" s="994"/>
      <c r="AH271" s="830"/>
      <c r="AI271" s="830"/>
      <c r="BL271" s="888"/>
      <c r="BM271" s="888"/>
      <c r="BN271" s="888"/>
      <c r="BO271" s="888"/>
      <c r="BP271" s="888"/>
      <c r="BQ271" s="888"/>
      <c r="BV271" s="888"/>
      <c r="BW271" s="888"/>
      <c r="BX271" s="888"/>
      <c r="BY271" s="888"/>
      <c r="BZ271" s="888"/>
      <c r="CA271" s="888"/>
    </row>
    <row r="272" s="802" customFormat="1" ht="31" customHeight="1" spans="1:79">
      <c r="A272" s="997"/>
      <c r="B272" s="856"/>
      <c r="C272" s="830"/>
      <c r="E272" s="830"/>
      <c r="F272" s="830"/>
      <c r="G272" s="843"/>
      <c r="H272" s="830"/>
      <c r="I272" s="830"/>
      <c r="J272" s="830"/>
      <c r="K272" s="830"/>
      <c r="L272" s="842"/>
      <c r="M272" s="843"/>
      <c r="N272" s="843"/>
      <c r="O272" s="830"/>
      <c r="P272" s="844"/>
      <c r="Q272" s="830"/>
      <c r="R272" s="951"/>
      <c r="S272" s="951"/>
      <c r="T272" s="951"/>
      <c r="V272" s="843"/>
      <c r="W272" s="1073"/>
      <c r="X272" s="859"/>
      <c r="Y272" s="830"/>
      <c r="Z272" s="830"/>
      <c r="AA272" s="830"/>
      <c r="AB272" s="830"/>
      <c r="AC272" s="830"/>
      <c r="AD272" s="844"/>
      <c r="AE272" s="844"/>
      <c r="AF272" s="830"/>
      <c r="AG272" s="994"/>
      <c r="AH272" s="830"/>
      <c r="AI272" s="830"/>
      <c r="BL272" s="888"/>
      <c r="BM272" s="888"/>
      <c r="BN272" s="888"/>
      <c r="BO272" s="888"/>
      <c r="BP272" s="888"/>
      <c r="BQ272" s="888"/>
      <c r="BV272" s="888"/>
      <c r="BW272" s="888"/>
      <c r="BX272" s="888"/>
      <c r="BY272" s="888"/>
      <c r="BZ272" s="888"/>
      <c r="CA272" s="888"/>
    </row>
    <row r="273" s="802" customFormat="1" ht="31" customHeight="1" spans="1:79">
      <c r="A273" s="997"/>
      <c r="B273" s="856"/>
      <c r="C273" s="830"/>
      <c r="E273" s="830"/>
      <c r="F273" s="830"/>
      <c r="G273" s="843"/>
      <c r="H273" s="830"/>
      <c r="I273" s="830"/>
      <c r="J273" s="830"/>
      <c r="K273" s="830"/>
      <c r="L273" s="842"/>
      <c r="M273" s="843"/>
      <c r="N273" s="843"/>
      <c r="O273" s="830"/>
      <c r="P273" s="844"/>
      <c r="Q273" s="830"/>
      <c r="R273" s="951"/>
      <c r="S273" s="951"/>
      <c r="T273" s="951"/>
      <c r="V273" s="843"/>
      <c r="W273" s="1073"/>
      <c r="X273" s="859"/>
      <c r="Y273" s="830"/>
      <c r="Z273" s="830"/>
      <c r="AA273" s="830"/>
      <c r="AB273" s="830"/>
      <c r="AC273" s="830"/>
      <c r="AD273" s="844"/>
      <c r="AE273" s="844"/>
      <c r="AF273" s="830"/>
      <c r="AG273" s="994"/>
      <c r="AH273" s="830"/>
      <c r="AI273" s="830"/>
      <c r="BL273" s="888"/>
      <c r="BM273" s="888"/>
      <c r="BN273" s="888"/>
      <c r="BO273" s="888"/>
      <c r="BP273" s="888"/>
      <c r="BQ273" s="888"/>
      <c r="BV273" s="888"/>
      <c r="BW273" s="888"/>
      <c r="BX273" s="888"/>
      <c r="BY273" s="888"/>
      <c r="BZ273" s="888"/>
      <c r="CA273" s="888"/>
    </row>
    <row r="274" s="802" customFormat="1" ht="31" customHeight="1" spans="1:79">
      <c r="A274" s="997"/>
      <c r="B274" s="856"/>
      <c r="C274" s="830"/>
      <c r="E274" s="830"/>
      <c r="F274" s="830"/>
      <c r="G274" s="843"/>
      <c r="H274" s="830"/>
      <c r="I274" s="830"/>
      <c r="J274" s="830"/>
      <c r="K274" s="830"/>
      <c r="L274" s="842"/>
      <c r="M274" s="843"/>
      <c r="N274" s="843"/>
      <c r="O274" s="830"/>
      <c r="P274" s="844"/>
      <c r="Q274" s="830"/>
      <c r="R274" s="951"/>
      <c r="S274" s="951"/>
      <c r="T274" s="951"/>
      <c r="V274" s="843"/>
      <c r="W274" s="1073"/>
      <c r="X274" s="859"/>
      <c r="Y274" s="830"/>
      <c r="Z274" s="830"/>
      <c r="AA274" s="830"/>
      <c r="AB274" s="830"/>
      <c r="AC274" s="830"/>
      <c r="AD274" s="844"/>
      <c r="AE274" s="844"/>
      <c r="AF274" s="830"/>
      <c r="AG274" s="994"/>
      <c r="AH274" s="830"/>
      <c r="AI274" s="830"/>
      <c r="BL274" s="888"/>
      <c r="BM274" s="888"/>
      <c r="BN274" s="888"/>
      <c r="BO274" s="888"/>
      <c r="BP274" s="888"/>
      <c r="BQ274" s="888"/>
      <c r="BV274" s="888"/>
      <c r="BW274" s="888"/>
      <c r="BX274" s="888"/>
      <c r="BY274" s="888"/>
      <c r="BZ274" s="888"/>
      <c r="CA274" s="888"/>
    </row>
    <row r="275" s="802" customFormat="1" ht="31" customHeight="1" spans="1:79">
      <c r="A275" s="997"/>
      <c r="B275" s="856"/>
      <c r="C275" s="830"/>
      <c r="E275" s="830"/>
      <c r="F275" s="830"/>
      <c r="G275" s="843"/>
      <c r="H275" s="830"/>
      <c r="I275" s="830"/>
      <c r="J275" s="830"/>
      <c r="K275" s="830"/>
      <c r="L275" s="842"/>
      <c r="M275" s="843"/>
      <c r="N275" s="843"/>
      <c r="O275" s="830"/>
      <c r="P275" s="844"/>
      <c r="Q275" s="830"/>
      <c r="R275" s="951"/>
      <c r="S275" s="951"/>
      <c r="T275" s="951"/>
      <c r="V275" s="843"/>
      <c r="W275" s="1073"/>
      <c r="X275" s="859"/>
      <c r="Y275" s="830"/>
      <c r="Z275" s="830"/>
      <c r="AA275" s="830"/>
      <c r="AB275" s="830"/>
      <c r="AC275" s="830"/>
      <c r="AD275" s="844"/>
      <c r="AE275" s="844"/>
      <c r="AF275" s="830"/>
      <c r="AG275" s="994"/>
      <c r="AH275" s="830"/>
      <c r="AI275" s="830"/>
      <c r="BL275" s="888"/>
      <c r="BM275" s="888"/>
      <c r="BN275" s="888"/>
      <c r="BO275" s="888"/>
      <c r="BP275" s="888"/>
      <c r="BQ275" s="888"/>
      <c r="BV275" s="888"/>
      <c r="BW275" s="888"/>
      <c r="BX275" s="888"/>
      <c r="BY275" s="888"/>
      <c r="BZ275" s="888"/>
      <c r="CA275" s="888"/>
    </row>
    <row r="276" s="802" customFormat="1" ht="31" customHeight="1" spans="1:79">
      <c r="A276" s="997"/>
      <c r="B276" s="856"/>
      <c r="C276" s="830"/>
      <c r="E276" s="830"/>
      <c r="F276" s="830"/>
      <c r="G276" s="843"/>
      <c r="H276" s="830"/>
      <c r="I276" s="830"/>
      <c r="J276" s="830"/>
      <c r="K276" s="830"/>
      <c r="L276" s="842"/>
      <c r="M276" s="843"/>
      <c r="N276" s="843"/>
      <c r="O276" s="830"/>
      <c r="P276" s="844"/>
      <c r="Q276" s="830"/>
      <c r="R276" s="951"/>
      <c r="S276" s="951"/>
      <c r="T276" s="951"/>
      <c r="V276" s="843"/>
      <c r="W276" s="1073"/>
      <c r="X276" s="859"/>
      <c r="Y276" s="830"/>
      <c r="Z276" s="830"/>
      <c r="AA276" s="830"/>
      <c r="AB276" s="830"/>
      <c r="AC276" s="830"/>
      <c r="AD276" s="844"/>
      <c r="AE276" s="844"/>
      <c r="AF276" s="830"/>
      <c r="AG276" s="994"/>
      <c r="AH276" s="830"/>
      <c r="AI276" s="830"/>
      <c r="BL276" s="888"/>
      <c r="BM276" s="888"/>
      <c r="BN276" s="888"/>
      <c r="BO276" s="888"/>
      <c r="BP276" s="888"/>
      <c r="BQ276" s="888"/>
      <c r="BV276" s="888"/>
      <c r="BW276" s="888"/>
      <c r="BX276" s="888"/>
      <c r="BY276" s="888"/>
      <c r="BZ276" s="888"/>
      <c r="CA276" s="888"/>
    </row>
    <row r="277" s="802" customFormat="1" ht="31" customHeight="1" spans="1:79">
      <c r="A277" s="997"/>
      <c r="B277" s="856"/>
      <c r="C277" s="830"/>
      <c r="E277" s="830"/>
      <c r="F277" s="830"/>
      <c r="G277" s="843"/>
      <c r="H277" s="830"/>
      <c r="I277" s="830"/>
      <c r="J277" s="830"/>
      <c r="K277" s="830"/>
      <c r="L277" s="842"/>
      <c r="M277" s="843"/>
      <c r="N277" s="843"/>
      <c r="O277" s="830"/>
      <c r="P277" s="844"/>
      <c r="Q277" s="830"/>
      <c r="R277" s="951"/>
      <c r="S277" s="951"/>
      <c r="T277" s="951"/>
      <c r="V277" s="843"/>
      <c r="W277" s="1073"/>
      <c r="X277" s="859"/>
      <c r="Y277" s="830"/>
      <c r="Z277" s="830"/>
      <c r="AA277" s="830"/>
      <c r="AB277" s="830"/>
      <c r="AC277" s="830"/>
      <c r="AD277" s="844"/>
      <c r="AE277" s="844"/>
      <c r="AF277" s="830"/>
      <c r="AG277" s="994"/>
      <c r="AH277" s="830"/>
      <c r="AI277" s="830"/>
      <c r="BL277" s="888"/>
      <c r="BM277" s="888"/>
      <c r="BN277" s="888"/>
      <c r="BO277" s="888"/>
      <c r="BP277" s="888"/>
      <c r="BQ277" s="888"/>
      <c r="BV277" s="888"/>
      <c r="BW277" s="888"/>
      <c r="BX277" s="888"/>
      <c r="BY277" s="888"/>
      <c r="BZ277" s="888"/>
      <c r="CA277" s="888"/>
    </row>
    <row r="278" s="802" customFormat="1" ht="31" customHeight="1" spans="1:79">
      <c r="A278" s="997"/>
      <c r="B278" s="856"/>
      <c r="C278" s="830"/>
      <c r="E278" s="830"/>
      <c r="F278" s="830"/>
      <c r="G278" s="843"/>
      <c r="H278" s="830"/>
      <c r="I278" s="830"/>
      <c r="J278" s="830"/>
      <c r="K278" s="830"/>
      <c r="L278" s="842"/>
      <c r="M278" s="843"/>
      <c r="N278" s="843"/>
      <c r="O278" s="830"/>
      <c r="P278" s="844"/>
      <c r="Q278" s="830"/>
      <c r="R278" s="951"/>
      <c r="S278" s="951"/>
      <c r="T278" s="951"/>
      <c r="V278" s="843"/>
      <c r="W278" s="1073"/>
      <c r="X278" s="859"/>
      <c r="Y278" s="830"/>
      <c r="Z278" s="830"/>
      <c r="AA278" s="830"/>
      <c r="AB278" s="830"/>
      <c r="AC278" s="830"/>
      <c r="AD278" s="844"/>
      <c r="AE278" s="844"/>
      <c r="AF278" s="830"/>
      <c r="AG278" s="994"/>
      <c r="AH278" s="830"/>
      <c r="AI278" s="830"/>
      <c r="BL278" s="888"/>
      <c r="BM278" s="888"/>
      <c r="BN278" s="888"/>
      <c r="BO278" s="888"/>
      <c r="BP278" s="888"/>
      <c r="BQ278" s="888"/>
      <c r="BV278" s="888"/>
      <c r="BW278" s="888"/>
      <c r="BX278" s="888"/>
      <c r="BY278" s="888"/>
      <c r="BZ278" s="888"/>
      <c r="CA278" s="888"/>
    </row>
    <row r="279" s="802" customFormat="1" ht="31" customHeight="1" spans="1:79">
      <c r="A279" s="997"/>
      <c r="B279" s="856"/>
      <c r="C279" s="830"/>
      <c r="E279" s="830"/>
      <c r="F279" s="830"/>
      <c r="G279" s="843"/>
      <c r="H279" s="830"/>
      <c r="I279" s="830"/>
      <c r="J279" s="830"/>
      <c r="K279" s="830"/>
      <c r="L279" s="842"/>
      <c r="M279" s="843"/>
      <c r="N279" s="843"/>
      <c r="O279" s="830"/>
      <c r="P279" s="844"/>
      <c r="Q279" s="830"/>
      <c r="R279" s="951"/>
      <c r="S279" s="951"/>
      <c r="T279" s="951"/>
      <c r="V279" s="843"/>
      <c r="W279" s="1073"/>
      <c r="X279" s="859"/>
      <c r="Y279" s="830"/>
      <c r="Z279" s="830"/>
      <c r="AA279" s="830"/>
      <c r="AB279" s="830"/>
      <c r="AC279" s="830"/>
      <c r="AD279" s="844"/>
      <c r="AE279" s="844"/>
      <c r="AF279" s="830"/>
      <c r="AG279" s="994"/>
      <c r="AH279" s="830"/>
      <c r="AI279" s="830"/>
      <c r="BL279" s="888"/>
      <c r="BM279" s="888"/>
      <c r="BN279" s="888"/>
      <c r="BO279" s="888"/>
      <c r="BP279" s="888"/>
      <c r="BQ279" s="888"/>
      <c r="BV279" s="888"/>
      <c r="BW279" s="888"/>
      <c r="BX279" s="888"/>
      <c r="BY279" s="888"/>
      <c r="BZ279" s="888"/>
      <c r="CA279" s="888"/>
    </row>
    <row r="280" s="802" customFormat="1" ht="31" customHeight="1" spans="1:79">
      <c r="A280" s="997"/>
      <c r="B280" s="856"/>
      <c r="C280" s="830"/>
      <c r="E280" s="830"/>
      <c r="F280" s="830"/>
      <c r="G280" s="843"/>
      <c r="H280" s="830"/>
      <c r="I280" s="830"/>
      <c r="J280" s="830"/>
      <c r="K280" s="830"/>
      <c r="L280" s="842"/>
      <c r="M280" s="843"/>
      <c r="N280" s="843"/>
      <c r="O280" s="830"/>
      <c r="P280" s="844"/>
      <c r="Q280" s="830"/>
      <c r="R280" s="951"/>
      <c r="S280" s="951"/>
      <c r="T280" s="951"/>
      <c r="V280" s="843"/>
      <c r="W280" s="1073"/>
      <c r="X280" s="859"/>
      <c r="Y280" s="830"/>
      <c r="Z280" s="830"/>
      <c r="AA280" s="830"/>
      <c r="AB280" s="830"/>
      <c r="AC280" s="830"/>
      <c r="AD280" s="844"/>
      <c r="AE280" s="844"/>
      <c r="AF280" s="830"/>
      <c r="AG280" s="994"/>
      <c r="AH280" s="830"/>
      <c r="AI280" s="830"/>
      <c r="BL280" s="888"/>
      <c r="BM280" s="888"/>
      <c r="BN280" s="888"/>
      <c r="BO280" s="888"/>
      <c r="BP280" s="888"/>
      <c r="BQ280" s="888"/>
      <c r="BV280" s="888"/>
      <c r="BW280" s="888"/>
      <c r="BX280" s="888"/>
      <c r="BY280" s="888"/>
      <c r="BZ280" s="888"/>
      <c r="CA280" s="888"/>
    </row>
    <row r="281" s="802" customFormat="1" ht="31" customHeight="1" spans="1:79">
      <c r="A281" s="997"/>
      <c r="B281" s="856"/>
      <c r="C281" s="830"/>
      <c r="E281" s="830"/>
      <c r="F281" s="830"/>
      <c r="G281" s="843"/>
      <c r="H281" s="830"/>
      <c r="I281" s="830"/>
      <c r="J281" s="830"/>
      <c r="K281" s="830"/>
      <c r="L281" s="842"/>
      <c r="M281" s="843"/>
      <c r="N281" s="843"/>
      <c r="O281" s="830"/>
      <c r="P281" s="844"/>
      <c r="Q281" s="830"/>
      <c r="R281" s="951"/>
      <c r="S281" s="951"/>
      <c r="T281" s="951"/>
      <c r="V281" s="843"/>
      <c r="W281" s="1073"/>
      <c r="X281" s="859"/>
      <c r="Y281" s="830"/>
      <c r="Z281" s="830"/>
      <c r="AA281" s="830"/>
      <c r="AB281" s="830"/>
      <c r="AC281" s="830"/>
      <c r="AD281" s="844"/>
      <c r="AE281" s="844"/>
      <c r="AF281" s="830"/>
      <c r="AG281" s="994"/>
      <c r="AH281" s="830"/>
      <c r="AI281" s="830"/>
      <c r="BL281" s="888"/>
      <c r="BM281" s="888"/>
      <c r="BN281" s="888"/>
      <c r="BO281" s="888"/>
      <c r="BP281" s="888"/>
      <c r="BQ281" s="888"/>
      <c r="BV281" s="888"/>
      <c r="BW281" s="888"/>
      <c r="BX281" s="888"/>
      <c r="BY281" s="888"/>
      <c r="BZ281" s="888"/>
      <c r="CA281" s="888"/>
    </row>
    <row r="282" s="802" customFormat="1" ht="31" customHeight="1" spans="1:79">
      <c r="A282" s="997"/>
      <c r="B282" s="856"/>
      <c r="C282" s="830"/>
      <c r="E282" s="830"/>
      <c r="F282" s="830"/>
      <c r="G282" s="843"/>
      <c r="H282" s="830"/>
      <c r="I282" s="830"/>
      <c r="J282" s="830"/>
      <c r="K282" s="830"/>
      <c r="L282" s="842"/>
      <c r="M282" s="843"/>
      <c r="N282" s="843"/>
      <c r="O282" s="830"/>
      <c r="P282" s="844"/>
      <c r="Q282" s="830"/>
      <c r="R282" s="951"/>
      <c r="S282" s="951"/>
      <c r="T282" s="951"/>
      <c r="V282" s="843"/>
      <c r="W282" s="1073"/>
      <c r="X282" s="859"/>
      <c r="Y282" s="830"/>
      <c r="Z282" s="830"/>
      <c r="AA282" s="830"/>
      <c r="AB282" s="830"/>
      <c r="AC282" s="830"/>
      <c r="AD282" s="844"/>
      <c r="AE282" s="844"/>
      <c r="AF282" s="830"/>
      <c r="AG282" s="994"/>
      <c r="AH282" s="830"/>
      <c r="AI282" s="830"/>
      <c r="BL282" s="888"/>
      <c r="BM282" s="888"/>
      <c r="BN282" s="888"/>
      <c r="BO282" s="888"/>
      <c r="BP282" s="888"/>
      <c r="BQ282" s="888"/>
      <c r="BV282" s="888"/>
      <c r="BW282" s="888"/>
      <c r="BX282" s="821"/>
      <c r="BY282" s="821"/>
      <c r="BZ282" s="821"/>
      <c r="CA282" s="888"/>
    </row>
    <row r="283" s="802" customFormat="1" ht="31" customHeight="1" spans="1:79">
      <c r="A283" s="997"/>
      <c r="B283" s="856"/>
      <c r="C283" s="830"/>
      <c r="E283" s="830"/>
      <c r="F283" s="830"/>
      <c r="G283" s="843"/>
      <c r="H283" s="830"/>
      <c r="I283" s="830"/>
      <c r="J283" s="830"/>
      <c r="K283" s="830"/>
      <c r="L283" s="842"/>
      <c r="M283" s="843"/>
      <c r="N283" s="843"/>
      <c r="O283" s="830"/>
      <c r="P283" s="844"/>
      <c r="Q283" s="830"/>
      <c r="R283" s="951"/>
      <c r="S283" s="951"/>
      <c r="T283" s="951"/>
      <c r="V283" s="843"/>
      <c r="W283" s="1073"/>
      <c r="X283" s="859"/>
      <c r="Y283" s="830"/>
      <c r="Z283" s="830"/>
      <c r="AA283" s="830"/>
      <c r="AB283" s="830"/>
      <c r="AC283" s="830"/>
      <c r="AD283" s="844"/>
      <c r="AE283" s="844"/>
      <c r="AF283" s="830"/>
      <c r="AG283" s="994"/>
      <c r="AH283" s="830"/>
      <c r="AI283" s="830"/>
      <c r="BL283" s="888"/>
      <c r="BM283" s="888"/>
      <c r="BN283" s="888"/>
      <c r="BO283" s="888"/>
      <c r="BP283" s="888"/>
      <c r="BQ283" s="888"/>
      <c r="BV283" s="888"/>
      <c r="BW283" s="888"/>
      <c r="BX283" s="821"/>
      <c r="BY283" s="821"/>
      <c r="BZ283" s="821"/>
      <c r="CA283" s="888"/>
    </row>
    <row r="284" s="802" customFormat="1" ht="31" customHeight="1" spans="1:79">
      <c r="A284" s="997"/>
      <c r="B284" s="856"/>
      <c r="C284" s="830"/>
      <c r="E284" s="830"/>
      <c r="F284" s="830"/>
      <c r="G284" s="843"/>
      <c r="H284" s="830"/>
      <c r="I284" s="830"/>
      <c r="J284" s="830"/>
      <c r="K284" s="830"/>
      <c r="L284" s="842"/>
      <c r="M284" s="843"/>
      <c r="N284" s="843"/>
      <c r="O284" s="830"/>
      <c r="P284" s="844"/>
      <c r="Q284" s="830"/>
      <c r="R284" s="951"/>
      <c r="S284" s="951"/>
      <c r="T284" s="951"/>
      <c r="V284" s="843"/>
      <c r="W284" s="1073"/>
      <c r="X284" s="859"/>
      <c r="Y284" s="830"/>
      <c r="Z284" s="830"/>
      <c r="AA284" s="830"/>
      <c r="AB284" s="830"/>
      <c r="AC284" s="830"/>
      <c r="AD284" s="844"/>
      <c r="AE284" s="844"/>
      <c r="AF284" s="830"/>
      <c r="AG284" s="994"/>
      <c r="AH284" s="830"/>
      <c r="AI284" s="830"/>
      <c r="BL284" s="888"/>
      <c r="BM284" s="888"/>
      <c r="BN284" s="888"/>
      <c r="BO284" s="888"/>
      <c r="BP284" s="888"/>
      <c r="BQ284" s="888"/>
      <c r="BV284" s="888"/>
      <c r="BW284" s="888"/>
      <c r="BX284" s="821"/>
      <c r="BY284" s="821"/>
      <c r="BZ284" s="821"/>
      <c r="CA284" s="888"/>
    </row>
    <row r="285" ht="33" customHeight="1" spans="9:73">
      <c r="I285" s="1222">
        <f>SUM(I4:I284)</f>
        <v>1041796</v>
      </c>
      <c r="AD285" s="818">
        <f>SUM(AD1:AD284)</f>
        <v>872830</v>
      </c>
      <c r="AI285" s="1222">
        <f t="shared" ref="AI285:AN285" si="105">SUM(AI2:AI284)</f>
        <v>1060986</v>
      </c>
      <c r="AJ285" s="1222">
        <f t="shared" si="105"/>
        <v>901197</v>
      </c>
      <c r="AK285" s="1222">
        <f t="shared" si="105"/>
        <v>15432</v>
      </c>
      <c r="AL285" s="1222">
        <f t="shared" si="105"/>
        <v>84478</v>
      </c>
      <c r="AM285" s="1222">
        <f t="shared" si="105"/>
        <v>981821</v>
      </c>
      <c r="AN285" s="1222">
        <f t="shared" si="105"/>
        <v>0</v>
      </c>
      <c r="AO285" s="1222">
        <f>SUM(AO75:AO284)</f>
        <v>19916</v>
      </c>
      <c r="AP285" s="1222">
        <f t="shared" ref="AP285:BJ285" si="106">SUM(AP2:AP284)</f>
        <v>6464</v>
      </c>
      <c r="AQ285" s="1222">
        <f t="shared" si="106"/>
        <v>1450</v>
      </c>
      <c r="AR285" s="1222">
        <f t="shared" si="106"/>
        <v>14976</v>
      </c>
      <c r="AS285" s="1222">
        <f t="shared" si="106"/>
        <v>2373</v>
      </c>
      <c r="AT285" s="1222">
        <f t="shared" si="106"/>
        <v>0</v>
      </c>
      <c r="AU285" s="1222">
        <f t="shared" si="106"/>
        <v>0</v>
      </c>
      <c r="AV285" s="1222">
        <f t="shared" si="106"/>
        <v>0</v>
      </c>
      <c r="AW285" s="1222">
        <f t="shared" si="106"/>
        <v>13939</v>
      </c>
      <c r="AX285" s="1222">
        <f t="shared" si="106"/>
        <v>0</v>
      </c>
      <c r="AY285" s="1222">
        <f t="shared" si="106"/>
        <v>0</v>
      </c>
      <c r="AZ285" s="1222">
        <f t="shared" si="106"/>
        <v>4154</v>
      </c>
      <c r="BA285" s="1222">
        <f t="shared" si="106"/>
        <v>0</v>
      </c>
      <c r="BB285" s="1222">
        <f t="shared" si="106"/>
        <v>0</v>
      </c>
      <c r="BC285" s="1222">
        <f t="shared" si="106"/>
        <v>0</v>
      </c>
      <c r="BD285" s="1222">
        <f t="shared" si="106"/>
        <v>0</v>
      </c>
      <c r="BE285" s="1222">
        <f t="shared" si="106"/>
        <v>0</v>
      </c>
      <c r="BF285" s="1222">
        <f t="shared" si="106"/>
        <v>1000</v>
      </c>
      <c r="BG285" s="1222">
        <f t="shared" si="106"/>
        <v>931</v>
      </c>
      <c r="BH285" s="1222">
        <f t="shared" si="106"/>
        <v>18156</v>
      </c>
      <c r="BI285" s="1222">
        <f t="shared" si="106"/>
        <v>18156</v>
      </c>
      <c r="BJ285" s="1222">
        <f t="shared" si="106"/>
        <v>18156</v>
      </c>
      <c r="BT285" s="810">
        <f>SUM(BT1:BT284)</f>
        <v>31288</v>
      </c>
      <c r="BU285" s="810">
        <f>SUM(BU1:BU284)</f>
        <v>931</v>
      </c>
    </row>
  </sheetData>
  <sheetProtection selectLockedCells="1" autoFilter="0"/>
  <autoFilter xmlns:etc="http://www.wps.cn/officeDocument/2017/etCustomData" ref="A1:DA255" etc:filterBottomFollowUsedRange="0">
    <filterColumn colId="3">
      <filters>
        <filter val="4500192690"/>
      </filters>
    </filterColumn>
    <extLst/>
  </autoFilter>
  <mergeCells count="6">
    <mergeCell ref="AD264:AD265"/>
    <mergeCell ref="AE264:AE265"/>
    <mergeCell ref="AG82:AG85"/>
    <mergeCell ref="AG100:AG101"/>
    <mergeCell ref="AG121:AG122"/>
    <mergeCell ref="AG221:AG224"/>
  </mergeCells>
  <conditionalFormatting sqref="R1:T1">
    <cfRule type="cellIs" dxfId="0" priority="5155" operator="equal">
      <formula>"欠"</formula>
    </cfRule>
  </conditionalFormatting>
  <conditionalFormatting sqref="AA1:AB1">
    <cfRule type="cellIs" dxfId="0" priority="5143" operator="equal">
      <formula>"未完成"</formula>
    </cfRule>
  </conditionalFormatting>
  <conditionalFormatting sqref="AD1:AI1">
    <cfRule type="cellIs" dxfId="1" priority="5153" operator="equal">
      <formula>"未完成"</formula>
    </cfRule>
    <cfRule type="cellIs" dxfId="0" priority="5154" operator="equal">
      <formula>"未完成"</formula>
    </cfRule>
  </conditionalFormatting>
  <conditionalFormatting sqref="S2">
    <cfRule type="cellIs" dxfId="0" priority="2663" operator="equal">
      <formula>"欠"</formula>
    </cfRule>
  </conditionalFormatting>
  <conditionalFormatting sqref="AC2">
    <cfRule type="cellIs" dxfId="0" priority="2667" operator="equal">
      <formula>"未完成"</formula>
    </cfRule>
    <cfRule type="cellIs" dxfId="1" priority="2666" operator="equal">
      <formula>"未完成"</formula>
    </cfRule>
  </conditionalFormatting>
  <conditionalFormatting sqref="AD2">
    <cfRule type="cellIs" dxfId="0" priority="2669" operator="equal">
      <formula>"未完成"</formula>
    </cfRule>
    <cfRule type="cellIs" dxfId="1" priority="2668" operator="equal">
      <formula>"未完成"</formula>
    </cfRule>
  </conditionalFormatting>
  <conditionalFormatting sqref="AC5">
    <cfRule type="cellIs" dxfId="0" priority="5147" operator="equal">
      <formula>"未完成"</formula>
    </cfRule>
  </conditionalFormatting>
  <conditionalFormatting sqref="T19">
    <cfRule type="cellIs" dxfId="0" priority="2562" operator="equal">
      <formula>"欠"</formula>
    </cfRule>
  </conditionalFormatting>
  <conditionalFormatting sqref="R22">
    <cfRule type="containsText" dxfId="2" priority="2571" operator="between" text="欠">
      <formula>NOT(ISERROR(SEARCH("欠",R22)))</formula>
    </cfRule>
  </conditionalFormatting>
  <conditionalFormatting sqref="AD22">
    <cfRule type="cellIs" dxfId="1" priority="2466" operator="equal">
      <formula>"未完成"</formula>
    </cfRule>
    <cfRule type="cellIs" dxfId="0" priority="2467" operator="equal">
      <formula>"未完成"</formula>
    </cfRule>
  </conditionalFormatting>
  <conditionalFormatting sqref="R24">
    <cfRule type="cellIs" dxfId="0" priority="2614" operator="equal">
      <formula>"欠"</formula>
    </cfRule>
  </conditionalFormatting>
  <conditionalFormatting sqref="S24">
    <cfRule type="cellIs" dxfId="0" priority="2570" operator="equal">
      <formula>"欠"</formula>
    </cfRule>
  </conditionalFormatting>
  <conditionalFormatting sqref="T24">
    <cfRule type="cellIs" dxfId="0" priority="2569" operator="equal">
      <formula>"欠"</formula>
    </cfRule>
  </conditionalFormatting>
  <conditionalFormatting sqref="AC24">
    <cfRule type="cellIs" dxfId="0" priority="2616" operator="equal">
      <formula>"未完成"</formula>
    </cfRule>
    <cfRule type="cellIs" dxfId="1" priority="2617" operator="equal">
      <formula>"未完成"</formula>
    </cfRule>
  </conditionalFormatting>
  <conditionalFormatting sqref="AD24">
    <cfRule type="cellIs" dxfId="1" priority="2619" operator="equal">
      <formula>"未完成"</formula>
    </cfRule>
    <cfRule type="cellIs" dxfId="0" priority="2620" operator="equal">
      <formula>"未完成"</formula>
    </cfRule>
  </conditionalFormatting>
  <conditionalFormatting sqref="AF24">
    <cfRule type="cellIs" dxfId="1" priority="2623" operator="equal">
      <formula>"未完成"</formula>
    </cfRule>
    <cfRule type="cellIs" dxfId="0" priority="2624" operator="equal">
      <formula>"未完成"</formula>
    </cfRule>
  </conditionalFormatting>
  <conditionalFormatting sqref="AG24:AH24">
    <cfRule type="cellIs" dxfId="1" priority="2621" operator="equal">
      <formula>"未完成"</formula>
    </cfRule>
    <cfRule type="cellIs" dxfId="0" priority="2622" operator="equal">
      <formula>"未完成"</formula>
    </cfRule>
  </conditionalFormatting>
  <conditionalFormatting sqref="T30">
    <cfRule type="cellIs" dxfId="0" priority="2626" operator="equal">
      <formula>"欠"</formula>
    </cfRule>
  </conditionalFormatting>
  <conditionalFormatting sqref="T31">
    <cfRule type="cellIs" dxfId="0" priority="2625" operator="equal">
      <formula>"欠"</formula>
    </cfRule>
  </conditionalFormatting>
  <conditionalFormatting sqref="AC32">
    <cfRule type="cellIs" dxfId="0" priority="2589" operator="equal">
      <formula>"未完成"</formula>
    </cfRule>
    <cfRule type="cellIs" dxfId="1" priority="2590" operator="equal">
      <formula>"未完成"</formula>
    </cfRule>
  </conditionalFormatting>
  <conditionalFormatting sqref="AD32">
    <cfRule type="cellIs" dxfId="1" priority="2592" operator="equal">
      <formula>"未完成"</formula>
    </cfRule>
    <cfRule type="cellIs" dxfId="0" priority="2593" operator="equal">
      <formula>"未完成"</formula>
    </cfRule>
  </conditionalFormatting>
  <conditionalFormatting sqref="AG32">
    <cfRule type="cellIs" dxfId="1" priority="2435" operator="equal">
      <formula>"未完成"</formula>
    </cfRule>
    <cfRule type="cellIs" dxfId="0" priority="2436" operator="equal">
      <formula>"未完成"</formula>
    </cfRule>
  </conditionalFormatting>
  <conditionalFormatting sqref="AH32">
    <cfRule type="cellIs" dxfId="1" priority="2594" operator="equal">
      <formula>"未完成"</formula>
    </cfRule>
    <cfRule type="cellIs" dxfId="0" priority="2595" operator="equal">
      <formula>"未完成"</formula>
    </cfRule>
  </conditionalFormatting>
  <conditionalFormatting sqref="AG33">
    <cfRule type="cellIs" dxfId="1" priority="2437" operator="equal">
      <formula>"未完成"</formula>
    </cfRule>
    <cfRule type="cellIs" dxfId="0" priority="2438" operator="equal">
      <formula>"未完成"</formula>
    </cfRule>
  </conditionalFormatting>
  <conditionalFormatting sqref="R36">
    <cfRule type="cellIs" dxfId="0" priority="2561" operator="equal">
      <formula>"欠"</formula>
    </cfRule>
  </conditionalFormatting>
  <conditionalFormatting sqref="S37">
    <cfRule type="cellIs" dxfId="0" priority="2564" operator="equal">
      <formula>"欠"</formula>
    </cfRule>
  </conditionalFormatting>
  <conditionalFormatting sqref="T37">
    <cfRule type="containsText" dxfId="2" priority="2572" operator="between" text="欠">
      <formula>NOT(ISERROR(SEARCH("欠",T37)))</formula>
    </cfRule>
  </conditionalFormatting>
  <conditionalFormatting sqref="T39">
    <cfRule type="containsText" dxfId="2" priority="2600" operator="between" text="欠">
      <formula>NOT(ISERROR(SEARCH("欠",T39)))</formula>
    </cfRule>
    <cfRule type="cellIs" dxfId="0" priority="2602" operator="equal">
      <formula>"欠"</formula>
    </cfRule>
  </conditionalFormatting>
  <conditionalFormatting sqref="AC39">
    <cfRule type="cellIs" dxfId="0" priority="2603" operator="equal">
      <formula>"未完成"</formula>
    </cfRule>
    <cfRule type="cellIs" dxfId="1" priority="2604" operator="equal">
      <formula>"未完成"</formula>
    </cfRule>
  </conditionalFormatting>
  <conditionalFormatting sqref="AD39">
    <cfRule type="cellIs" dxfId="1" priority="2606" operator="equal">
      <formula>"未完成"</formula>
    </cfRule>
    <cfRule type="cellIs" dxfId="0" priority="2607" operator="equal">
      <formula>"未完成"</formula>
    </cfRule>
  </conditionalFormatting>
  <conditionalFormatting sqref="AG39:AH39">
    <cfRule type="cellIs" dxfId="1" priority="2608" operator="equal">
      <formula>"未完成"</formula>
    </cfRule>
    <cfRule type="cellIs" dxfId="0" priority="2609" operator="equal">
      <formula>"未完成"</formula>
    </cfRule>
  </conditionalFormatting>
  <conditionalFormatting sqref="S41">
    <cfRule type="cellIs" dxfId="0" priority="2539" operator="equal">
      <formula>"欠"</formula>
    </cfRule>
  </conditionalFormatting>
  <conditionalFormatting sqref="T41">
    <cfRule type="containsText" dxfId="2" priority="2540" operator="between" text="欠">
      <formula>NOT(ISERROR(SEARCH("欠",T41)))</formula>
    </cfRule>
  </conditionalFormatting>
  <conditionalFormatting sqref="AC41">
    <cfRule type="cellIs" dxfId="0" priority="2542" operator="equal">
      <formula>"未完成"</formula>
    </cfRule>
    <cfRule type="cellIs" dxfId="1" priority="2543" operator="equal">
      <formula>"未完成"</formula>
    </cfRule>
  </conditionalFormatting>
  <conditionalFormatting sqref="AD41">
    <cfRule type="cellIs" dxfId="1" priority="2545" operator="equal">
      <formula>"未完成"</formula>
    </cfRule>
    <cfRule type="cellIs" dxfId="0" priority="2546" operator="equal">
      <formula>"未完成"</formula>
    </cfRule>
  </conditionalFormatting>
  <conditionalFormatting sqref="AE41">
    <cfRule type="cellIs" dxfId="1" priority="2553" operator="equal">
      <formula>"未完成"</formula>
    </cfRule>
    <cfRule type="cellIs" dxfId="0" priority="2554" operator="equal">
      <formula>"未完成"</formula>
    </cfRule>
  </conditionalFormatting>
  <conditionalFormatting sqref="AF41">
    <cfRule type="cellIs" dxfId="1" priority="2549" operator="equal">
      <formula>"未完成"</formula>
    </cfRule>
    <cfRule type="cellIs" dxfId="0" priority="2550" operator="equal">
      <formula>"未完成"</formula>
    </cfRule>
  </conditionalFormatting>
  <conditionalFormatting sqref="AG41:AH41">
    <cfRule type="cellIs" dxfId="1" priority="2547" operator="equal">
      <formula>"未完成"</formula>
    </cfRule>
    <cfRule type="cellIs" dxfId="0" priority="2548" operator="equal">
      <formula>"未完成"</formula>
    </cfRule>
  </conditionalFormatting>
  <conditionalFormatting sqref="R45">
    <cfRule type="cellIs" dxfId="0" priority="2560" operator="equal">
      <formula>"欠"</formula>
    </cfRule>
  </conditionalFormatting>
  <conditionalFormatting sqref="AC48">
    <cfRule type="cellIs" dxfId="0" priority="2512" operator="equal">
      <formula>"未完成"</formula>
    </cfRule>
    <cfRule type="cellIs" dxfId="1" priority="2513" operator="equal">
      <formula>"未完成"</formula>
    </cfRule>
  </conditionalFormatting>
  <conditionalFormatting sqref="AD48">
    <cfRule type="cellIs" dxfId="1" priority="2515" operator="equal">
      <formula>"未完成"</formula>
    </cfRule>
    <cfRule type="cellIs" dxfId="0" priority="2516" operator="equal">
      <formula>"未完成"</formula>
    </cfRule>
  </conditionalFormatting>
  <conditionalFormatting sqref="AF48">
    <cfRule type="cellIs" dxfId="1" priority="2519" operator="equal">
      <formula>"未完成"</formula>
    </cfRule>
    <cfRule type="cellIs" dxfId="0" priority="2520" operator="equal">
      <formula>"未完成"</formula>
    </cfRule>
  </conditionalFormatting>
  <conditionalFormatting sqref="AG48:AH48">
    <cfRule type="cellIs" dxfId="1" priority="2517" operator="equal">
      <formula>"未完成"</formula>
    </cfRule>
    <cfRule type="cellIs" dxfId="0" priority="2518" operator="equal">
      <formula>"未完成"</formula>
    </cfRule>
  </conditionalFormatting>
  <conditionalFormatting sqref="AC49">
    <cfRule type="cellIs" dxfId="0" priority="2496" operator="equal">
      <formula>"未完成"</formula>
    </cfRule>
    <cfRule type="cellIs" dxfId="1" priority="2497" operator="equal">
      <formula>"未完成"</formula>
    </cfRule>
  </conditionalFormatting>
  <conditionalFormatting sqref="AD49">
    <cfRule type="cellIs" dxfId="1" priority="2190" operator="equal">
      <formula>"未完成"</formula>
    </cfRule>
    <cfRule type="cellIs" dxfId="0" priority="2191" operator="equal">
      <formula>"未完成"</formula>
    </cfRule>
  </conditionalFormatting>
  <conditionalFormatting sqref="AF49">
    <cfRule type="cellIs" dxfId="1" priority="2503" operator="equal">
      <formula>"未完成"</formula>
    </cfRule>
    <cfRule type="cellIs" dxfId="0" priority="2504" operator="equal">
      <formula>"未完成"</formula>
    </cfRule>
  </conditionalFormatting>
  <conditionalFormatting sqref="AG49">
    <cfRule type="cellIs" dxfId="1" priority="2317" operator="equal">
      <formula>"未完成"</formula>
    </cfRule>
    <cfRule type="cellIs" dxfId="0" priority="2318" operator="equal">
      <formula>"未完成"</formula>
    </cfRule>
  </conditionalFormatting>
  <conditionalFormatting sqref="AH49">
    <cfRule type="cellIs" dxfId="1" priority="2501" operator="equal">
      <formula>"未完成"</formula>
    </cfRule>
    <cfRule type="cellIs" dxfId="0" priority="2502" operator="equal">
      <formula>"未完成"</formula>
    </cfRule>
  </conditionalFormatting>
  <conditionalFormatting sqref="AL53">
    <cfRule type="cellIs" dxfId="1" priority="2188" operator="equal">
      <formula>"未完成"</formula>
    </cfRule>
    <cfRule type="cellIs" dxfId="0" priority="2189" operator="equal">
      <formula>"未完成"</formula>
    </cfRule>
  </conditionalFormatting>
  <conditionalFormatting sqref="S58">
    <cfRule type="cellIs" dxfId="0" priority="2468" operator="equal">
      <formula>"欠"</formula>
    </cfRule>
  </conditionalFormatting>
  <conditionalFormatting sqref="S68">
    <cfRule type="cellIs" dxfId="0" priority="2297" operator="equal">
      <formula>"欠"</formula>
    </cfRule>
  </conditionalFormatting>
  <conditionalFormatting sqref="S71">
    <cfRule type="cellIs" dxfId="0" priority="2470" operator="equal">
      <formula>"欠"</formula>
    </cfRule>
  </conditionalFormatting>
  <conditionalFormatting sqref="AC71">
    <cfRule type="cellIs" dxfId="0" priority="2482" operator="equal">
      <formula>"未完成"</formula>
    </cfRule>
    <cfRule type="cellIs" dxfId="1" priority="2483" operator="equal">
      <formula>"未完成"</formula>
    </cfRule>
  </conditionalFormatting>
  <conditionalFormatting sqref="AD71">
    <cfRule type="cellIs" dxfId="1" priority="2485" operator="equal">
      <formula>"未完成"</formula>
    </cfRule>
    <cfRule type="cellIs" dxfId="0" priority="2486" operator="equal">
      <formula>"未完成"</formula>
    </cfRule>
  </conditionalFormatting>
  <conditionalFormatting sqref="AF71">
    <cfRule type="cellIs" dxfId="1" priority="2489" operator="equal">
      <formula>"未完成"</formula>
    </cfRule>
    <cfRule type="cellIs" dxfId="0" priority="2490" operator="equal">
      <formula>"未完成"</formula>
    </cfRule>
  </conditionalFormatting>
  <conditionalFormatting sqref="AR71">
    <cfRule type="cellIs" dxfId="1" priority="2478" operator="equal">
      <formula>"未完成"</formula>
    </cfRule>
    <cfRule type="cellIs" dxfId="0" priority="2479" operator="equal">
      <formula>"未完成"</formula>
    </cfRule>
  </conditionalFormatting>
  <conditionalFormatting sqref="S72">
    <cfRule type="cellIs" dxfId="0" priority="2471" operator="equal">
      <formula>"欠"</formula>
    </cfRule>
  </conditionalFormatting>
  <conditionalFormatting sqref="AD72">
    <cfRule type="cellIs" dxfId="1" priority="2019" operator="equal">
      <formula>"未完成"</formula>
    </cfRule>
    <cfRule type="cellIs" dxfId="0" priority="2020" operator="equal">
      <formula>"未完成"</formula>
    </cfRule>
  </conditionalFormatting>
  <conditionalFormatting sqref="AD76">
    <cfRule type="cellIs" dxfId="1" priority="2172" operator="equal">
      <formula>"未完成"</formula>
    </cfRule>
    <cfRule type="cellIs" dxfId="0" priority="2173" operator="equal">
      <formula>"未完成"</formula>
    </cfRule>
  </conditionalFormatting>
  <conditionalFormatting sqref="R81">
    <cfRule type="cellIs" dxfId="0" priority="2450" operator="equal">
      <formula>"欠"</formula>
    </cfRule>
  </conditionalFormatting>
  <conditionalFormatting sqref="S81">
    <cfRule type="cellIs" dxfId="0" priority="2442" operator="equal">
      <formula>"欠"</formula>
    </cfRule>
  </conditionalFormatting>
  <conditionalFormatting sqref="T81">
    <cfRule type="cellIs" dxfId="0" priority="2441" operator="equal">
      <formula>"欠"</formula>
    </cfRule>
  </conditionalFormatting>
  <conditionalFormatting sqref="AR81">
    <cfRule type="cellIs" dxfId="1" priority="2451" operator="equal">
      <formula>"未完成"</formula>
    </cfRule>
    <cfRule type="cellIs" dxfId="0" priority="2452" operator="equal">
      <formula>"未完成"</formula>
    </cfRule>
  </conditionalFormatting>
  <conditionalFormatting sqref="AC95">
    <cfRule type="cellIs" dxfId="0" priority="2264" operator="equal">
      <formula>"未完成"</formula>
    </cfRule>
    <cfRule type="cellIs" dxfId="1" priority="2265" operator="equal">
      <formula>"未完成"</formula>
    </cfRule>
  </conditionalFormatting>
  <conditionalFormatting sqref="AD95">
    <cfRule type="cellIs" dxfId="1" priority="1956" operator="equal">
      <formula>"未完成"</formula>
    </cfRule>
    <cfRule type="cellIs" dxfId="0" priority="1957" operator="equal">
      <formula>"未完成"</formula>
    </cfRule>
  </conditionalFormatting>
  <conditionalFormatting sqref="AF95">
    <cfRule type="cellIs" dxfId="1" priority="2270" operator="equal">
      <formula>"未完成"</formula>
    </cfRule>
    <cfRule type="cellIs" dxfId="0" priority="2271" operator="equal">
      <formula>"未完成"</formula>
    </cfRule>
  </conditionalFormatting>
  <conditionalFormatting sqref="AM95">
    <cfRule type="cellIs" dxfId="1" priority="2259" operator="equal">
      <formula>"未完成"</formula>
    </cfRule>
    <cfRule type="cellIs" dxfId="0" priority="2260" operator="equal">
      <formula>"未完成"</formula>
    </cfRule>
  </conditionalFormatting>
  <conditionalFormatting sqref="AO95">
    <cfRule type="cellIs" dxfId="1" priority="2256" operator="equal">
      <formula>"未完成"</formula>
    </cfRule>
    <cfRule type="cellIs" dxfId="0" priority="2257" operator="equal">
      <formula>"未完成"</formula>
    </cfRule>
  </conditionalFormatting>
  <conditionalFormatting sqref="AD96">
    <cfRule type="cellIs" dxfId="1" priority="1954" operator="equal">
      <formula>"未完成"</formula>
    </cfRule>
    <cfRule type="cellIs" dxfId="0" priority="1955" operator="equal">
      <formula>"未完成"</formula>
    </cfRule>
  </conditionalFormatting>
  <conditionalFormatting sqref="R97">
    <cfRule type="cellIs" dxfId="0" priority="2325" operator="equal">
      <formula>"欠"</formula>
    </cfRule>
  </conditionalFormatting>
  <conditionalFormatting sqref="T97">
    <cfRule type="cellIs" dxfId="0" priority="2321" operator="equal">
      <formula>"欠"</formula>
    </cfRule>
  </conditionalFormatting>
  <conditionalFormatting sqref="AC97">
    <cfRule type="cellIs" dxfId="0" priority="2328" operator="equal">
      <formula>"未完成"</formula>
    </cfRule>
    <cfRule type="cellIs" dxfId="1" priority="2329" operator="equal">
      <formula>"未完成"</formula>
    </cfRule>
  </conditionalFormatting>
  <conditionalFormatting sqref="AD97">
    <cfRule type="cellIs" dxfId="1" priority="2331" operator="equal">
      <formula>"未完成"</formula>
    </cfRule>
    <cfRule type="cellIs" dxfId="0" priority="2332" operator="equal">
      <formula>"未完成"</formula>
    </cfRule>
  </conditionalFormatting>
  <conditionalFormatting sqref="AF97">
    <cfRule type="cellIs" dxfId="1" priority="2335" operator="equal">
      <formula>"未完成"</formula>
    </cfRule>
    <cfRule type="cellIs" dxfId="0" priority="2336" operator="equal">
      <formula>"未完成"</formula>
    </cfRule>
  </conditionalFormatting>
  <conditionalFormatting sqref="AG97:AH97">
    <cfRule type="cellIs" dxfId="1" priority="2333" operator="equal">
      <formula>"未完成"</formula>
    </cfRule>
    <cfRule type="cellIs" dxfId="0" priority="2334" operator="equal">
      <formula>"未完成"</formula>
    </cfRule>
  </conditionalFormatting>
  <conditionalFormatting sqref="AJ97">
    <cfRule type="cellIs" dxfId="1" priority="2326" operator="equal">
      <formula>"未完成"</formula>
    </cfRule>
    <cfRule type="cellIs" dxfId="0" priority="2327" operator="equal">
      <formula>"未完成"</formula>
    </cfRule>
  </conditionalFormatting>
  <conditionalFormatting sqref="AO97">
    <cfRule type="cellIs" dxfId="1" priority="2293" operator="equal">
      <formula>"未完成"</formula>
    </cfRule>
    <cfRule type="cellIs" dxfId="0" priority="2294" operator="equal">
      <formula>"未完成"</formula>
    </cfRule>
  </conditionalFormatting>
  <conditionalFormatting sqref="AC98">
    <cfRule type="cellIs" dxfId="0" priority="2368" operator="equal">
      <formula>"未完成"</formula>
    </cfRule>
    <cfRule type="cellIs" dxfId="1" priority="2372" operator="equal">
      <formula>"未完成"</formula>
    </cfRule>
  </conditionalFormatting>
  <conditionalFormatting sqref="AD98">
    <cfRule type="cellIs" dxfId="1" priority="2380" operator="equal">
      <formula>"未完成"</formula>
    </cfRule>
    <cfRule type="cellIs" dxfId="0" priority="2384" operator="equal">
      <formula>"未完成"</formula>
    </cfRule>
  </conditionalFormatting>
  <conditionalFormatting sqref="AF98">
    <cfRule type="cellIs" dxfId="1" priority="2396" operator="equal">
      <formula>"未完成"</formula>
    </cfRule>
    <cfRule type="cellIs" dxfId="0" priority="2400" operator="equal">
      <formula>"未完成"</formula>
    </cfRule>
  </conditionalFormatting>
  <conditionalFormatting sqref="AG98:AI98">
    <cfRule type="cellIs" dxfId="1" priority="2388" operator="equal">
      <formula>"未完成"</formula>
    </cfRule>
    <cfRule type="cellIs" dxfId="0" priority="2392" operator="equal">
      <formula>"未完成"</formula>
    </cfRule>
  </conditionalFormatting>
  <conditionalFormatting sqref="AJ98">
    <cfRule type="cellIs" dxfId="1" priority="2360" operator="equal">
      <formula>"未完成"</formula>
    </cfRule>
    <cfRule type="cellIs" dxfId="0" priority="2364" operator="equal">
      <formula>"未完成"</formula>
    </cfRule>
  </conditionalFormatting>
  <conditionalFormatting sqref="AD99">
    <cfRule type="cellIs" dxfId="1" priority="1952" operator="equal">
      <formula>"未完成"</formula>
    </cfRule>
    <cfRule type="cellIs" dxfId="0" priority="1953" operator="equal">
      <formula>"未完成"</formula>
    </cfRule>
  </conditionalFormatting>
  <conditionalFormatting sqref="AG99">
    <cfRule type="cellIs" dxfId="1" priority="2025" operator="equal">
      <formula>"未完成"</formula>
    </cfRule>
    <cfRule type="cellIs" dxfId="0" priority="2026" operator="equal">
      <formula>"未完成"</formula>
    </cfRule>
  </conditionalFormatting>
  <conditionalFormatting sqref="AC102">
    <cfRule type="cellIs" dxfId="0" priority="2366" operator="equal">
      <formula>"未完成"</formula>
    </cfRule>
    <cfRule type="cellIs" dxfId="1" priority="2370" operator="equal">
      <formula>"未完成"</formula>
    </cfRule>
  </conditionalFormatting>
  <conditionalFormatting sqref="AD102">
    <cfRule type="cellIs" dxfId="1" priority="2378" operator="equal">
      <formula>"未完成"</formula>
    </cfRule>
    <cfRule type="cellIs" dxfId="0" priority="2382" operator="equal">
      <formula>"未完成"</formula>
    </cfRule>
  </conditionalFormatting>
  <conditionalFormatting sqref="AF102">
    <cfRule type="cellIs" dxfId="1" priority="2394" operator="equal">
      <formula>"未完成"</formula>
    </cfRule>
    <cfRule type="cellIs" dxfId="0" priority="2398" operator="equal">
      <formula>"未完成"</formula>
    </cfRule>
  </conditionalFormatting>
  <conditionalFormatting sqref="AG102">
    <cfRule type="cellIs" dxfId="1" priority="2023" operator="equal">
      <formula>"未完成"</formula>
    </cfRule>
    <cfRule type="cellIs" dxfId="0" priority="2024" operator="equal">
      <formula>"未完成"</formula>
    </cfRule>
  </conditionalFormatting>
  <conditionalFormatting sqref="AH102:AI102">
    <cfRule type="cellIs" dxfId="1" priority="2386" operator="equal">
      <formula>"未完成"</formula>
    </cfRule>
    <cfRule type="cellIs" dxfId="0" priority="2390" operator="equal">
      <formula>"未完成"</formula>
    </cfRule>
  </conditionalFormatting>
  <conditionalFormatting sqref="AJ102">
    <cfRule type="cellIs" dxfId="1" priority="2358" operator="equal">
      <formula>"未完成"</formula>
    </cfRule>
    <cfRule type="cellIs" dxfId="0" priority="2362" operator="equal">
      <formula>"未完成"</formula>
    </cfRule>
  </conditionalFormatting>
  <conditionalFormatting sqref="AC103">
    <cfRule type="cellIs" dxfId="0" priority="2365" operator="equal">
      <formula>"未完成"</formula>
    </cfRule>
    <cfRule type="cellIs" dxfId="1" priority="2369" operator="equal">
      <formula>"未完成"</formula>
    </cfRule>
  </conditionalFormatting>
  <conditionalFormatting sqref="AD103">
    <cfRule type="cellIs" dxfId="1" priority="2377" operator="equal">
      <formula>"未完成"</formula>
    </cfRule>
    <cfRule type="cellIs" dxfId="0" priority="2381" operator="equal">
      <formula>"未完成"</formula>
    </cfRule>
  </conditionalFormatting>
  <conditionalFormatting sqref="AF103">
    <cfRule type="cellIs" dxfId="1" priority="2393" operator="equal">
      <formula>"未完成"</formula>
    </cfRule>
    <cfRule type="cellIs" dxfId="0" priority="2397" operator="equal">
      <formula>"未完成"</formula>
    </cfRule>
  </conditionalFormatting>
  <conditionalFormatting sqref="AG103">
    <cfRule type="cellIs" dxfId="1" priority="2015" operator="equal">
      <formula>"未完成"</formula>
    </cfRule>
    <cfRule type="cellIs" dxfId="0" priority="2016" operator="equal">
      <formula>"未完成"</formula>
    </cfRule>
  </conditionalFormatting>
  <conditionalFormatting sqref="AH103:AI103">
    <cfRule type="cellIs" dxfId="1" priority="2385" operator="equal">
      <formula>"未完成"</formula>
    </cfRule>
    <cfRule type="cellIs" dxfId="0" priority="2389" operator="equal">
      <formula>"未完成"</formula>
    </cfRule>
  </conditionalFormatting>
  <conditionalFormatting sqref="AJ103">
    <cfRule type="cellIs" dxfId="1" priority="2357" operator="equal">
      <formula>"未完成"</formula>
    </cfRule>
    <cfRule type="cellIs" dxfId="0" priority="2361" operator="equal">
      <formula>"未完成"</formula>
    </cfRule>
  </conditionalFormatting>
  <conditionalFormatting sqref="S104">
    <cfRule type="cellIs" dxfId="0" priority="2071" operator="equal">
      <formula>"欠"</formula>
    </cfRule>
  </conditionalFormatting>
  <conditionalFormatting sqref="AR105">
    <cfRule type="cellIs" dxfId="1" priority="2068" operator="equal">
      <formula>"未完成"</formula>
    </cfRule>
    <cfRule type="cellIs" dxfId="0" priority="2069" operator="equal">
      <formula>"未完成"</formula>
    </cfRule>
  </conditionalFormatting>
  <conditionalFormatting sqref="T106">
    <cfRule type="cellIs" dxfId="0" priority="2241" operator="equal">
      <formula>"欠"</formula>
    </cfRule>
  </conditionalFormatting>
  <conditionalFormatting sqref="AO106">
    <cfRule type="cellIs" dxfId="1" priority="2239" operator="equal">
      <formula>"未完成"</formula>
    </cfRule>
    <cfRule type="cellIs" dxfId="0" priority="2240" operator="equal">
      <formula>"未完成"</formula>
    </cfRule>
  </conditionalFormatting>
  <conditionalFormatting sqref="S107">
    <cfRule type="cellIs" dxfId="0" priority="2278" operator="equal">
      <formula>"欠"</formula>
    </cfRule>
  </conditionalFormatting>
  <conditionalFormatting sqref="T112">
    <cfRule type="containsText" dxfId="2" priority="2175" operator="between" text="欠">
      <formula>NOT(ISERROR(SEARCH("欠",T112)))</formula>
    </cfRule>
  </conditionalFormatting>
  <conditionalFormatting sqref="AC112">
    <cfRule type="cellIs" dxfId="0" priority="2178" operator="equal">
      <formula>"未完成"</formula>
    </cfRule>
    <cfRule type="cellIs" dxfId="1" priority="2179" operator="equal">
      <formula>"未完成"</formula>
    </cfRule>
  </conditionalFormatting>
  <conditionalFormatting sqref="AD112">
    <cfRule type="cellIs" dxfId="1" priority="1802" operator="equal">
      <formula>"未完成"</formula>
    </cfRule>
    <cfRule type="cellIs" dxfId="0" priority="1803" operator="equal">
      <formula>"未完成"</formula>
    </cfRule>
  </conditionalFormatting>
  <conditionalFormatting sqref="AF112">
    <cfRule type="cellIs" dxfId="1" priority="2184" operator="equal">
      <formula>"未完成"</formula>
    </cfRule>
    <cfRule type="cellIs" dxfId="0" priority="2185" operator="equal">
      <formula>"未完成"</formula>
    </cfRule>
  </conditionalFormatting>
  <conditionalFormatting sqref="AG112:AH112">
    <cfRule type="cellIs" dxfId="1" priority="2182" operator="equal">
      <formula>"未完成"</formula>
    </cfRule>
    <cfRule type="cellIs" dxfId="0" priority="2183" operator="equal">
      <formula>"未完成"</formula>
    </cfRule>
  </conditionalFormatting>
  <conditionalFormatting sqref="AD113">
    <cfRule type="cellIs" dxfId="1" priority="1800" operator="equal">
      <formula>"未完成"</formula>
    </cfRule>
    <cfRule type="cellIs" dxfId="0" priority="1801" operator="equal">
      <formula>"未完成"</formula>
    </cfRule>
  </conditionalFormatting>
  <conditionalFormatting sqref="AD114">
    <cfRule type="cellIs" dxfId="1" priority="1798" operator="equal">
      <formula>"未完成"</formula>
    </cfRule>
    <cfRule type="cellIs" dxfId="0" priority="1799" operator="equal">
      <formula>"未完成"</formula>
    </cfRule>
  </conditionalFormatting>
  <conditionalFormatting sqref="AG114">
    <cfRule type="cellIs" dxfId="1" priority="1984" operator="equal">
      <formula>"未完成"</formula>
    </cfRule>
    <cfRule type="cellIs" dxfId="0" priority="1985" operator="equal">
      <formula>"未完成"</formula>
    </cfRule>
  </conditionalFormatting>
  <conditionalFormatting sqref="R116">
    <cfRule type="cellIs" dxfId="0" priority="2002" operator="equal">
      <formula>"欠"</formula>
    </cfRule>
  </conditionalFormatting>
  <conditionalFormatting sqref="T116">
    <cfRule type="cellIs" dxfId="0" priority="2001" operator="equal">
      <formula>"欠"</formula>
    </cfRule>
    <cfRule type="containsText" dxfId="2" priority="2003" operator="between" text="欠">
      <formula>NOT(ISERROR(SEARCH("欠",T116)))</formula>
    </cfRule>
  </conditionalFormatting>
  <conditionalFormatting sqref="AC116">
    <cfRule type="cellIs" dxfId="0" priority="1993" operator="equal">
      <formula>"未完成"</formula>
    </cfRule>
    <cfRule type="cellIs" dxfId="1" priority="1994" operator="equal">
      <formula>"未完成"</formula>
    </cfRule>
  </conditionalFormatting>
  <conditionalFormatting sqref="AD116">
    <cfRule type="cellIs" dxfId="1" priority="1995" operator="equal">
      <formula>"未完成"</formula>
    </cfRule>
    <cfRule type="cellIs" dxfId="0" priority="1996" operator="equal">
      <formula>"未完成"</formula>
    </cfRule>
  </conditionalFormatting>
  <conditionalFormatting sqref="AF116">
    <cfRule type="cellIs" dxfId="1" priority="1999" operator="equal">
      <formula>"未完成"</formula>
    </cfRule>
    <cfRule type="cellIs" dxfId="0" priority="2000" operator="equal">
      <formula>"未完成"</formula>
    </cfRule>
  </conditionalFormatting>
  <conditionalFormatting sqref="AG116:AH116">
    <cfRule type="cellIs" dxfId="1" priority="1997" operator="equal">
      <formula>"未完成"</formula>
    </cfRule>
    <cfRule type="cellIs" dxfId="0" priority="1998" operator="equal">
      <formula>"未完成"</formula>
    </cfRule>
  </conditionalFormatting>
  <conditionalFormatting sqref="AJ116">
    <cfRule type="cellIs" dxfId="1" priority="2006" operator="equal">
      <formula>"未完成"</formula>
    </cfRule>
    <cfRule type="cellIs" dxfId="0" priority="2007" operator="equal">
      <formula>"未完成"</formula>
    </cfRule>
  </conditionalFormatting>
  <conditionalFormatting sqref="AO116">
    <cfRule type="cellIs" dxfId="1" priority="1991" operator="equal">
      <formula>"未完成"</formula>
    </cfRule>
    <cfRule type="cellIs" dxfId="0" priority="1992" operator="equal">
      <formula>"未完成"</formula>
    </cfRule>
  </conditionalFormatting>
  <conditionalFormatting sqref="AR116">
    <cfRule type="cellIs" dxfId="1" priority="1989" operator="equal">
      <formula>"未完成"</formula>
    </cfRule>
    <cfRule type="cellIs" dxfId="0" priority="1990" operator="equal">
      <formula>"未完成"</formula>
    </cfRule>
  </conditionalFormatting>
  <conditionalFormatting sqref="AS116">
    <cfRule type="cellIs" dxfId="1" priority="2008" operator="equal">
      <formula>"未完成"</formula>
    </cfRule>
    <cfRule type="cellIs" dxfId="0" priority="2009" operator="equal">
      <formula>"未完成"</formula>
    </cfRule>
  </conditionalFormatting>
  <conditionalFormatting sqref="R117">
    <cfRule type="cellIs" dxfId="0" priority="2174" operator="equal">
      <formula>"欠"</formula>
    </cfRule>
  </conditionalFormatting>
  <conditionalFormatting sqref="AG118">
    <cfRule type="cellIs" dxfId="1" priority="1920" operator="equal">
      <formula>"未完成"</formula>
    </cfRule>
    <cfRule type="cellIs" dxfId="0" priority="1921" operator="equal">
      <formula>"未完成"</formula>
    </cfRule>
  </conditionalFormatting>
  <conditionalFormatting sqref="AD119">
    <cfRule type="cellIs" dxfId="1" priority="1950" operator="equal">
      <formula>"未完成"</formula>
    </cfRule>
    <cfRule type="cellIs" dxfId="0" priority="1951" operator="equal">
      <formula>"未完成"</formula>
    </cfRule>
  </conditionalFormatting>
  <conditionalFormatting sqref="T123">
    <cfRule type="cellIs" dxfId="0" priority="2030" operator="equal">
      <formula>"欠"</formula>
    </cfRule>
    <cfRule type="containsText" dxfId="2" priority="2031" operator="between" text="欠">
      <formula>NOT(ISERROR(SEARCH("欠",T123)))</formula>
    </cfRule>
  </conditionalFormatting>
  <conditionalFormatting sqref="AG125">
    <cfRule type="cellIs" dxfId="1" priority="1918" operator="equal">
      <formula>"未完成"</formula>
    </cfRule>
    <cfRule type="cellIs" dxfId="0" priority="1919" operator="equal">
      <formula>"未完成"</formula>
    </cfRule>
  </conditionalFormatting>
  <conditionalFormatting sqref="AG126">
    <cfRule type="cellIs" dxfId="1" priority="1914" operator="equal">
      <formula>"未完成"</formula>
    </cfRule>
    <cfRule type="cellIs" dxfId="0" priority="1915" operator="equal">
      <formula>"未完成"</formula>
    </cfRule>
  </conditionalFormatting>
  <conditionalFormatting sqref="AG127">
    <cfRule type="cellIs" dxfId="1" priority="1916" operator="equal">
      <formula>"未完成"</formula>
    </cfRule>
    <cfRule type="cellIs" dxfId="0" priority="1917" operator="equal">
      <formula>"未完成"</formula>
    </cfRule>
  </conditionalFormatting>
  <conditionalFormatting sqref="AG128">
    <cfRule type="cellIs" dxfId="1" priority="1912" operator="equal">
      <formula>"未完成"</formula>
    </cfRule>
    <cfRule type="cellIs" dxfId="0" priority="1913" operator="equal">
      <formula>"未完成"</formula>
    </cfRule>
  </conditionalFormatting>
  <conditionalFormatting sqref="AG134">
    <cfRule type="cellIs" dxfId="1" priority="1910" operator="equal">
      <formula>"未完成"</formula>
    </cfRule>
    <cfRule type="cellIs" dxfId="0" priority="1911" operator="equal">
      <formula>"未完成"</formula>
    </cfRule>
  </conditionalFormatting>
  <conditionalFormatting sqref="R135">
    <cfRule type="cellIs" dxfId="0" priority="1789" operator="equal">
      <formula>"欠"</formula>
    </cfRule>
  </conditionalFormatting>
  <conditionalFormatting sqref="S135">
    <cfRule type="cellIs" dxfId="0" priority="1788" operator="equal">
      <formula>"欠"</formula>
    </cfRule>
  </conditionalFormatting>
  <conditionalFormatting sqref="T135">
    <cfRule type="cellIs" dxfId="0" priority="1775" operator="equal">
      <formula>"欠"</formula>
    </cfRule>
  </conditionalFormatting>
  <conditionalFormatting sqref="AC135">
    <cfRule type="cellIs" dxfId="1" priority="1778" operator="equal">
      <formula>"未完成"</formula>
    </cfRule>
    <cfRule type="cellIs" dxfId="0" priority="1779" operator="equal">
      <formula>"未完成"</formula>
    </cfRule>
  </conditionalFormatting>
  <conditionalFormatting sqref="AD135">
    <cfRule type="cellIs" dxfId="1" priority="1780" operator="equal">
      <formula>"未完成"</formula>
    </cfRule>
    <cfRule type="cellIs" dxfId="0" priority="1781" operator="equal">
      <formula>"未完成"</formula>
    </cfRule>
  </conditionalFormatting>
  <conditionalFormatting sqref="AF135">
    <cfRule type="cellIs" dxfId="1" priority="1784" operator="equal">
      <formula>"未完成"</formula>
    </cfRule>
    <cfRule type="cellIs" dxfId="0" priority="1785" operator="equal">
      <formula>"未完成"</formula>
    </cfRule>
  </conditionalFormatting>
  <conditionalFormatting sqref="AH135">
    <cfRule type="cellIs" dxfId="1" priority="1792" operator="equal">
      <formula>"未完成"</formula>
    </cfRule>
    <cfRule type="cellIs" dxfId="0" priority="1793" operator="equal">
      <formula>"未完成"</formula>
    </cfRule>
  </conditionalFormatting>
  <conditionalFormatting sqref="AO135">
    <cfRule type="cellIs" dxfId="1" priority="1776" operator="equal">
      <formula>"未完成"</formula>
    </cfRule>
    <cfRule type="cellIs" dxfId="0" priority="1777" operator="equal">
      <formula>"未完成"</formula>
    </cfRule>
  </conditionalFormatting>
  <conditionalFormatting sqref="AR135">
    <cfRule type="cellIs" dxfId="1" priority="1771" operator="equal">
      <formula>"未完成"</formula>
    </cfRule>
    <cfRule type="cellIs" dxfId="0" priority="1772" operator="equal">
      <formula>"未完成"</formula>
    </cfRule>
  </conditionalFormatting>
  <conditionalFormatting sqref="AS135">
    <cfRule type="cellIs" dxfId="1" priority="1790" operator="equal">
      <formula>"未完成"</formula>
    </cfRule>
    <cfRule type="cellIs" dxfId="0" priority="1791" operator="equal">
      <formula>"未完成"</formula>
    </cfRule>
  </conditionalFormatting>
  <conditionalFormatting sqref="R136">
    <cfRule type="cellIs" dxfId="0" priority="1758" operator="equal">
      <formula>"欠"</formula>
    </cfRule>
  </conditionalFormatting>
  <conditionalFormatting sqref="S136">
    <cfRule type="cellIs" dxfId="0" priority="1756" operator="equal">
      <formula>"欠"</formula>
    </cfRule>
  </conditionalFormatting>
  <conditionalFormatting sqref="T136">
    <cfRule type="cellIs" dxfId="0" priority="1730" operator="equal">
      <formula>"欠"</formula>
    </cfRule>
  </conditionalFormatting>
  <conditionalFormatting sqref="AC136">
    <cfRule type="cellIs" dxfId="1" priority="1736" operator="equal">
      <formula>"未完成"</formula>
    </cfRule>
    <cfRule type="cellIs" dxfId="0" priority="1738" operator="equal">
      <formula>"未完成"</formula>
    </cfRule>
  </conditionalFormatting>
  <conditionalFormatting sqref="AD136">
    <cfRule type="cellIs" dxfId="1" priority="1740" operator="equal">
      <formula>"未完成"</formula>
    </cfRule>
    <cfRule type="cellIs" dxfId="0" priority="1742" operator="equal">
      <formula>"未完成"</formula>
    </cfRule>
  </conditionalFormatting>
  <conditionalFormatting sqref="AF136">
    <cfRule type="cellIs" dxfId="1" priority="1748" operator="equal">
      <formula>"未完成"</formula>
    </cfRule>
    <cfRule type="cellIs" dxfId="0" priority="1750" operator="equal">
      <formula>"未完成"</formula>
    </cfRule>
  </conditionalFormatting>
  <conditionalFormatting sqref="AH136">
    <cfRule type="cellIs" dxfId="1" priority="1764" operator="equal">
      <formula>"未完成"</formula>
    </cfRule>
    <cfRule type="cellIs" dxfId="0" priority="1766" operator="equal">
      <formula>"未完成"</formula>
    </cfRule>
  </conditionalFormatting>
  <conditionalFormatting sqref="AO136">
    <cfRule type="cellIs" dxfId="1" priority="1732" operator="equal">
      <formula>"未完成"</formula>
    </cfRule>
    <cfRule type="cellIs" dxfId="0" priority="1734" operator="equal">
      <formula>"未完成"</formula>
    </cfRule>
  </conditionalFormatting>
  <conditionalFormatting sqref="AR136">
    <cfRule type="cellIs" dxfId="1" priority="1722" operator="equal">
      <formula>"未完成"</formula>
    </cfRule>
    <cfRule type="cellIs" dxfId="0" priority="1724" operator="equal">
      <formula>"未完成"</formula>
    </cfRule>
  </conditionalFormatting>
  <conditionalFormatting sqref="AS136">
    <cfRule type="cellIs" dxfId="1" priority="1760" operator="equal">
      <formula>"未完成"</formula>
    </cfRule>
    <cfRule type="cellIs" dxfId="0" priority="1762" operator="equal">
      <formula>"未完成"</formula>
    </cfRule>
  </conditionalFormatting>
  <conditionalFormatting sqref="R137">
    <cfRule type="cellIs" dxfId="0" priority="1757" operator="equal">
      <formula>"欠"</formula>
    </cfRule>
  </conditionalFormatting>
  <conditionalFormatting sqref="S137">
    <cfRule type="cellIs" dxfId="0" priority="1755" operator="equal">
      <formula>"欠"</formula>
    </cfRule>
  </conditionalFormatting>
  <conditionalFormatting sqref="T137">
    <cfRule type="cellIs" dxfId="0" priority="1729" operator="equal">
      <formula>"欠"</formula>
    </cfRule>
  </conditionalFormatting>
  <conditionalFormatting sqref="AC137">
    <cfRule type="cellIs" dxfId="1" priority="1735" operator="equal">
      <formula>"未完成"</formula>
    </cfRule>
    <cfRule type="cellIs" dxfId="0" priority="1737" operator="equal">
      <formula>"未完成"</formula>
    </cfRule>
  </conditionalFormatting>
  <conditionalFormatting sqref="AD137">
    <cfRule type="cellIs" dxfId="1" priority="1650" operator="equal">
      <formula>"未完成"</formula>
    </cfRule>
    <cfRule type="cellIs" dxfId="0" priority="1651" operator="equal">
      <formula>"未完成"</formula>
    </cfRule>
  </conditionalFormatting>
  <conditionalFormatting sqref="AF137">
    <cfRule type="cellIs" dxfId="1" priority="1747" operator="equal">
      <formula>"未完成"</formula>
    </cfRule>
    <cfRule type="cellIs" dxfId="0" priority="1749" operator="equal">
      <formula>"未完成"</formula>
    </cfRule>
  </conditionalFormatting>
  <conditionalFormatting sqref="AH137">
    <cfRule type="cellIs" dxfId="1" priority="1763" operator="equal">
      <formula>"未完成"</formula>
    </cfRule>
    <cfRule type="cellIs" dxfId="0" priority="1765" operator="equal">
      <formula>"未完成"</formula>
    </cfRule>
  </conditionalFormatting>
  <conditionalFormatting sqref="AO137">
    <cfRule type="cellIs" dxfId="1" priority="1731" operator="equal">
      <formula>"未完成"</formula>
    </cfRule>
    <cfRule type="cellIs" dxfId="0" priority="1733" operator="equal">
      <formula>"未完成"</formula>
    </cfRule>
  </conditionalFormatting>
  <conditionalFormatting sqref="AR137">
    <cfRule type="cellIs" dxfId="1" priority="1721" operator="equal">
      <formula>"未完成"</formula>
    </cfRule>
    <cfRule type="cellIs" dxfId="0" priority="1723" operator="equal">
      <formula>"未完成"</formula>
    </cfRule>
  </conditionalFormatting>
  <conditionalFormatting sqref="AS137">
    <cfRule type="cellIs" dxfId="1" priority="1759" operator="equal">
      <formula>"未完成"</formula>
    </cfRule>
    <cfRule type="cellIs" dxfId="0" priority="1761" operator="equal">
      <formula>"未完成"</formula>
    </cfRule>
  </conditionalFormatting>
  <conditionalFormatting sqref="AC138">
    <cfRule type="cellIs" dxfId="1" priority="2197" operator="equal">
      <formula>"未完成"</formula>
    </cfRule>
    <cfRule type="cellIs" dxfId="0" priority="2198" operator="equal">
      <formula>"未完成"</formula>
    </cfRule>
  </conditionalFormatting>
  <conditionalFormatting sqref="AD138">
    <cfRule type="cellIs" dxfId="1" priority="2199" operator="equal">
      <formula>"未完成"</formula>
    </cfRule>
    <cfRule type="cellIs" dxfId="0" priority="2200" operator="equal">
      <formula>"未完成"</formula>
    </cfRule>
  </conditionalFormatting>
  <conditionalFormatting sqref="AF138">
    <cfRule type="cellIs" dxfId="1" priority="2203" operator="equal">
      <formula>"未完成"</formula>
    </cfRule>
    <cfRule type="cellIs" dxfId="0" priority="2204" operator="equal">
      <formula>"未完成"</formula>
    </cfRule>
  </conditionalFormatting>
  <conditionalFormatting sqref="AG138:AH138">
    <cfRule type="cellIs" dxfId="1" priority="2201" operator="equal">
      <formula>"未完成"</formula>
    </cfRule>
    <cfRule type="cellIs" dxfId="0" priority="2202" operator="equal">
      <formula>"未完成"</formula>
    </cfRule>
  </conditionalFormatting>
  <conditionalFormatting sqref="AM138">
    <cfRule type="cellIs" dxfId="1" priority="2206" operator="equal">
      <formula>"未完成"</formula>
    </cfRule>
    <cfRule type="cellIs" dxfId="0" priority="2207" operator="equal">
      <formula>"未完成"</formula>
    </cfRule>
  </conditionalFormatting>
  <conditionalFormatting sqref="AO138">
    <cfRule type="cellIs" dxfId="1" priority="2193" operator="equal">
      <formula>"未完成"</formula>
    </cfRule>
    <cfRule type="cellIs" dxfId="0" priority="2194" operator="equal">
      <formula>"未完成"</formula>
    </cfRule>
  </conditionalFormatting>
  <conditionalFormatting sqref="R140">
    <cfRule type="cellIs" dxfId="0" priority="1694" operator="equal">
      <formula>"欠"</formula>
    </cfRule>
  </conditionalFormatting>
  <conditionalFormatting sqref="S140">
    <cfRule type="cellIs" dxfId="0" priority="1697" operator="equal">
      <formula>"欠"</formula>
    </cfRule>
  </conditionalFormatting>
  <conditionalFormatting sqref="T140">
    <cfRule type="containsText" dxfId="2" priority="1684" operator="between" text="欠">
      <formula>NOT(ISERROR(SEARCH("欠",T140)))</formula>
    </cfRule>
    <cfRule type="cellIs" dxfId="0" priority="1685" operator="equal">
      <formula>"欠"</formula>
    </cfRule>
  </conditionalFormatting>
  <conditionalFormatting sqref="AC140">
    <cfRule type="cellIs" dxfId="1" priority="1686" operator="equal">
      <formula>"未完成"</formula>
    </cfRule>
    <cfRule type="cellIs" dxfId="0" priority="1687" operator="equal">
      <formula>"未完成"</formula>
    </cfRule>
  </conditionalFormatting>
  <conditionalFormatting sqref="AD140">
    <cfRule type="cellIs" dxfId="1" priority="1688" operator="equal">
      <formula>"未完成"</formula>
    </cfRule>
    <cfRule type="cellIs" dxfId="0" priority="1689" operator="equal">
      <formula>"未完成"</formula>
    </cfRule>
  </conditionalFormatting>
  <conditionalFormatting sqref="AE140">
    <cfRule type="cellIs" dxfId="1" priority="1700" operator="equal">
      <formula>"未完成"</formula>
    </cfRule>
    <cfRule type="cellIs" dxfId="0" priority="1701" operator="equal">
      <formula>"未完成"</formula>
    </cfRule>
  </conditionalFormatting>
  <conditionalFormatting sqref="AF140">
    <cfRule type="cellIs" dxfId="1" priority="1692" operator="equal">
      <formula>"未完成"</formula>
    </cfRule>
    <cfRule type="cellIs" dxfId="0" priority="1693" operator="equal">
      <formula>"未完成"</formula>
    </cfRule>
  </conditionalFormatting>
  <conditionalFormatting sqref="AG140:AH140">
    <cfRule type="cellIs" dxfId="1" priority="1690" operator="equal">
      <formula>"未完成"</formula>
    </cfRule>
    <cfRule type="cellIs" dxfId="0" priority="1691" operator="equal">
      <formula>"未完成"</formula>
    </cfRule>
  </conditionalFormatting>
  <conditionalFormatting sqref="AM140">
    <cfRule type="cellIs" dxfId="1" priority="1695" operator="equal">
      <formula>"未完成"</formula>
    </cfRule>
    <cfRule type="cellIs" dxfId="0" priority="1696" operator="equal">
      <formula>"未完成"</formula>
    </cfRule>
  </conditionalFormatting>
  <conditionalFormatting sqref="AO140">
    <cfRule type="cellIs" dxfId="1" priority="1682" operator="equal">
      <formula>"未完成"</formula>
    </cfRule>
    <cfRule type="cellIs" dxfId="0" priority="1683" operator="equal">
      <formula>"未完成"</formula>
    </cfRule>
  </conditionalFormatting>
  <conditionalFormatting sqref="AC141">
    <cfRule type="cellIs" dxfId="0" priority="2102" operator="equal">
      <formula>"未完成"</formula>
    </cfRule>
    <cfRule type="cellIs" dxfId="1" priority="2103" operator="equal">
      <formula>"未完成"</formula>
    </cfRule>
  </conditionalFormatting>
  <conditionalFormatting sqref="AD141">
    <cfRule type="cellIs" dxfId="1" priority="2104" operator="equal">
      <formula>"未完成"</formula>
    </cfRule>
    <cfRule type="cellIs" dxfId="0" priority="2105" operator="equal">
      <formula>"未完成"</formula>
    </cfRule>
  </conditionalFormatting>
  <conditionalFormatting sqref="AF141">
    <cfRule type="cellIs" dxfId="1" priority="2108" operator="equal">
      <formula>"未完成"</formula>
    </cfRule>
    <cfRule type="cellIs" dxfId="0" priority="2109" operator="equal">
      <formula>"未完成"</formula>
    </cfRule>
  </conditionalFormatting>
  <conditionalFormatting sqref="AG141:AH141">
    <cfRule type="cellIs" dxfId="1" priority="2106" operator="equal">
      <formula>"未完成"</formula>
    </cfRule>
    <cfRule type="cellIs" dxfId="0" priority="2107" operator="equal">
      <formula>"未完成"</formula>
    </cfRule>
  </conditionalFormatting>
  <conditionalFormatting sqref="AJ141">
    <cfRule type="cellIs" dxfId="1" priority="2115" operator="equal">
      <formula>"未完成"</formula>
    </cfRule>
    <cfRule type="cellIs" dxfId="0" priority="2116" operator="equal">
      <formula>"未完成"</formula>
    </cfRule>
  </conditionalFormatting>
  <conditionalFormatting sqref="AO141">
    <cfRule type="cellIs" dxfId="1" priority="2100" operator="equal">
      <formula>"未完成"</formula>
    </cfRule>
    <cfRule type="cellIs" dxfId="0" priority="2101" operator="equal">
      <formula>"未完成"</formula>
    </cfRule>
  </conditionalFormatting>
  <conditionalFormatting sqref="AR141">
    <cfRule type="cellIs" dxfId="1" priority="2098" operator="equal">
      <formula>"未完成"</formula>
    </cfRule>
    <cfRule type="cellIs" dxfId="0" priority="2099" operator="equal">
      <formula>"未完成"</formula>
    </cfRule>
  </conditionalFormatting>
  <conditionalFormatting sqref="AC142">
    <cfRule type="cellIs" dxfId="0" priority="2076" operator="equal">
      <formula>"未完成"</formula>
    </cfRule>
    <cfRule type="cellIs" dxfId="1" priority="2077" operator="equal">
      <formula>"未完成"</formula>
    </cfRule>
  </conditionalFormatting>
  <conditionalFormatting sqref="AD142">
    <cfRule type="cellIs" dxfId="1" priority="2078" operator="equal">
      <formula>"未完成"</formula>
    </cfRule>
    <cfRule type="cellIs" dxfId="0" priority="2079" operator="equal">
      <formula>"未完成"</formula>
    </cfRule>
  </conditionalFormatting>
  <conditionalFormatting sqref="AF142">
    <cfRule type="cellIs" dxfId="1" priority="2082" operator="equal">
      <formula>"未完成"</formula>
    </cfRule>
    <cfRule type="cellIs" dxfId="0" priority="2083" operator="equal">
      <formula>"未完成"</formula>
    </cfRule>
  </conditionalFormatting>
  <conditionalFormatting sqref="AG142">
    <cfRule type="cellIs" dxfId="1" priority="1806" operator="equal">
      <formula>"未完成"</formula>
    </cfRule>
    <cfRule type="cellIs" dxfId="0" priority="1807" operator="equal">
      <formula>"未完成"</formula>
    </cfRule>
  </conditionalFormatting>
  <conditionalFormatting sqref="AH142">
    <cfRule type="cellIs" dxfId="1" priority="2080" operator="equal">
      <formula>"未完成"</formula>
    </cfRule>
    <cfRule type="cellIs" dxfId="0" priority="2081" operator="equal">
      <formula>"未完成"</formula>
    </cfRule>
  </conditionalFormatting>
  <conditionalFormatting sqref="AJ142">
    <cfRule type="cellIs" dxfId="1" priority="2089" operator="equal">
      <formula>"未完成"</formula>
    </cfRule>
    <cfRule type="cellIs" dxfId="0" priority="2090" operator="equal">
      <formula>"未完成"</formula>
    </cfRule>
  </conditionalFormatting>
  <conditionalFormatting sqref="AO142">
    <cfRule type="cellIs" dxfId="1" priority="2074" operator="equal">
      <formula>"未完成"</formula>
    </cfRule>
    <cfRule type="cellIs" dxfId="0" priority="2075" operator="equal">
      <formula>"未完成"</formula>
    </cfRule>
  </conditionalFormatting>
  <conditionalFormatting sqref="AR142">
    <cfRule type="cellIs" dxfId="1" priority="2072" operator="equal">
      <formula>"未完成"</formula>
    </cfRule>
    <cfRule type="cellIs" dxfId="0" priority="2073" operator="equal">
      <formula>"未完成"</formula>
    </cfRule>
  </conditionalFormatting>
  <conditionalFormatting sqref="S143">
    <cfRule type="cellIs" dxfId="0" priority="2064" operator="equal">
      <formula>"欠"</formula>
    </cfRule>
  </conditionalFormatting>
  <conditionalFormatting sqref="AD143">
    <cfRule type="cellIs" dxfId="1" priority="1652" operator="equal">
      <formula>"未完成"</formula>
    </cfRule>
    <cfRule type="cellIs" dxfId="0" priority="1653" operator="equal">
      <formula>"未完成"</formula>
    </cfRule>
  </conditionalFormatting>
  <conditionalFormatting sqref="AG143">
    <cfRule type="cellIs" dxfId="1" priority="1804" operator="equal">
      <formula>"未完成"</formula>
    </cfRule>
    <cfRule type="cellIs" dxfId="0" priority="1805" operator="equal">
      <formula>"未完成"</formula>
    </cfRule>
  </conditionalFormatting>
  <conditionalFormatting sqref="R144">
    <cfRule type="cellIs" dxfId="0" priority="1922" operator="equal">
      <formula>"欠"</formula>
    </cfRule>
  </conditionalFormatting>
  <conditionalFormatting sqref="T144">
    <cfRule type="containsText" dxfId="2" priority="1928" operator="between" text="欠">
      <formula>NOT(ISERROR(SEARCH("欠",T144)))</formula>
    </cfRule>
    <cfRule type="cellIs" dxfId="0" priority="1929" operator="equal">
      <formula>"欠"</formula>
    </cfRule>
  </conditionalFormatting>
  <conditionalFormatting sqref="AC144">
    <cfRule type="cellIs" dxfId="0" priority="1930" operator="equal">
      <formula>"未完成"</formula>
    </cfRule>
    <cfRule type="cellIs" dxfId="1" priority="1931" operator="equal">
      <formula>"未完成"</formula>
    </cfRule>
  </conditionalFormatting>
  <conditionalFormatting sqref="AD144">
    <cfRule type="cellIs" dxfId="1" priority="1932" operator="equal">
      <formula>"未完成"</formula>
    </cfRule>
    <cfRule type="cellIs" dxfId="0" priority="1933" operator="equal">
      <formula>"未完成"</formula>
    </cfRule>
  </conditionalFormatting>
  <conditionalFormatting sqref="AF144">
    <cfRule type="cellIs" dxfId="1" priority="1936" operator="equal">
      <formula>"未完成"</formula>
    </cfRule>
    <cfRule type="cellIs" dxfId="0" priority="1937" operator="equal">
      <formula>"未完成"</formula>
    </cfRule>
  </conditionalFormatting>
  <conditionalFormatting sqref="AG144">
    <cfRule type="cellIs" dxfId="1" priority="1924" operator="equal">
      <formula>"未完成"</formula>
    </cfRule>
    <cfRule type="cellIs" dxfId="0" priority="1925" operator="equal">
      <formula>"未完成"</formula>
    </cfRule>
  </conditionalFormatting>
  <conditionalFormatting sqref="AH144">
    <cfRule type="cellIs" dxfId="1" priority="1934" operator="equal">
      <formula>"未完成"</formula>
    </cfRule>
    <cfRule type="cellIs" dxfId="0" priority="1935" operator="equal">
      <formula>"未完成"</formula>
    </cfRule>
  </conditionalFormatting>
  <conditionalFormatting sqref="AO144">
    <cfRule type="cellIs" dxfId="1" priority="1926" operator="equal">
      <formula>"未完成"</formula>
    </cfRule>
    <cfRule type="cellIs" dxfId="0" priority="1927" operator="equal">
      <formula>"未完成"</formula>
    </cfRule>
  </conditionalFormatting>
  <conditionalFormatting sqref="R145">
    <cfRule type="cellIs" dxfId="0" priority="2029" operator="equal">
      <formula>"欠"</formula>
    </cfRule>
  </conditionalFormatting>
  <conditionalFormatting sqref="T145">
    <cfRule type="cellIs" dxfId="0" priority="2042" operator="equal">
      <formula>"欠"</formula>
    </cfRule>
    <cfRule type="containsText" dxfId="2" priority="2044" operator="between" text="欠">
      <formula>NOT(ISERROR(SEARCH("欠",T145)))</formula>
    </cfRule>
  </conditionalFormatting>
  <conditionalFormatting sqref="AC145">
    <cfRule type="cellIs" dxfId="1" priority="2034" operator="equal">
      <formula>"未完成"</formula>
    </cfRule>
    <cfRule type="cellIs" dxfId="0" priority="2035" operator="equal">
      <formula>"未完成"</formula>
    </cfRule>
  </conditionalFormatting>
  <conditionalFormatting sqref="AD145">
    <cfRule type="cellIs" dxfId="1" priority="2036" operator="equal">
      <formula>"未完成"</formula>
    </cfRule>
    <cfRule type="cellIs" dxfId="0" priority="2037" operator="equal">
      <formula>"未完成"</formula>
    </cfRule>
  </conditionalFormatting>
  <conditionalFormatting sqref="AF145">
    <cfRule type="cellIs" dxfId="1" priority="2040" operator="equal">
      <formula>"未完成"</formula>
    </cfRule>
    <cfRule type="cellIs" dxfId="0" priority="2041" operator="equal">
      <formula>"未完成"</formula>
    </cfRule>
  </conditionalFormatting>
  <conditionalFormatting sqref="AG145:AH145">
    <cfRule type="cellIs" dxfId="1" priority="2038" operator="equal">
      <formula>"未完成"</formula>
    </cfRule>
    <cfRule type="cellIs" dxfId="0" priority="2039" operator="equal">
      <formula>"未完成"</formula>
    </cfRule>
  </conditionalFormatting>
  <conditionalFormatting sqref="AJ145">
    <cfRule type="cellIs" dxfId="1" priority="2047" operator="equal">
      <formula>"未完成"</formula>
    </cfRule>
    <cfRule type="cellIs" dxfId="0" priority="2048" operator="equal">
      <formula>"未完成"</formula>
    </cfRule>
  </conditionalFormatting>
  <conditionalFormatting sqref="AO145">
    <cfRule type="cellIs" dxfId="1" priority="2032" operator="equal">
      <formula>"未完成"</formula>
    </cfRule>
    <cfRule type="cellIs" dxfId="0" priority="2033" operator="equal">
      <formula>"未完成"</formula>
    </cfRule>
  </conditionalFormatting>
  <conditionalFormatting sqref="AJ148">
    <cfRule type="cellIs" dxfId="1" priority="1980" operator="equal">
      <formula>"未完成"</formula>
    </cfRule>
    <cfRule type="cellIs" dxfId="0" priority="1981" operator="equal">
      <formula>"未完成"</formula>
    </cfRule>
  </conditionalFormatting>
  <conditionalFormatting sqref="T154">
    <cfRule type="cellIs" dxfId="0" priority="2284" operator="equal">
      <formula>"欠"</formula>
    </cfRule>
  </conditionalFormatting>
  <conditionalFormatting sqref="AG155">
    <cfRule type="cellIs" dxfId="1" priority="1908" operator="equal">
      <formula>"未完成"</formula>
    </cfRule>
    <cfRule type="cellIs" dxfId="0" priority="1909" operator="equal">
      <formula>"未完成"</formula>
    </cfRule>
  </conditionalFormatting>
  <conditionalFormatting sqref="AG156">
    <cfRule type="cellIs" dxfId="1" priority="1906" operator="equal">
      <formula>"未完成"</formula>
    </cfRule>
    <cfRule type="cellIs" dxfId="0" priority="1907" operator="equal">
      <formula>"未完成"</formula>
    </cfRule>
  </conditionalFormatting>
  <conditionalFormatting sqref="S164">
    <cfRule type="cellIs" dxfId="0" priority="1874" operator="equal">
      <formula>"欠"</formula>
    </cfRule>
  </conditionalFormatting>
  <conditionalFormatting sqref="AD164">
    <cfRule type="cellIs" dxfId="1" priority="1301" operator="equal">
      <formula>"未完成"</formula>
    </cfRule>
    <cfRule type="cellIs" dxfId="0" priority="1302" operator="equal">
      <formula>"未完成"</formula>
    </cfRule>
  </conditionalFormatting>
  <conditionalFormatting sqref="AJ164">
    <cfRule type="cellIs" dxfId="1" priority="1890" operator="equal">
      <formula>"未完成"</formula>
    </cfRule>
    <cfRule type="cellIs" dxfId="0" priority="1891" operator="equal">
      <formula>"未完成"</formula>
    </cfRule>
  </conditionalFormatting>
  <conditionalFormatting sqref="AD165">
    <cfRule type="cellIs" dxfId="1" priority="1299" operator="equal">
      <formula>"未完成"</formula>
    </cfRule>
    <cfRule type="cellIs" dxfId="0" priority="1300" operator="equal">
      <formula>"未完成"</formula>
    </cfRule>
  </conditionalFormatting>
  <conditionalFormatting sqref="R166">
    <cfRule type="cellIs" dxfId="0" priority="956" operator="equal">
      <formula>"欠"</formula>
    </cfRule>
  </conditionalFormatting>
  <conditionalFormatting sqref="S166">
    <cfRule type="cellIs" dxfId="0" priority="794" operator="equal">
      <formula>"欠"</formula>
    </cfRule>
  </conditionalFormatting>
  <conditionalFormatting sqref="T166">
    <cfRule type="cellIs" dxfId="0" priority="776" operator="equal">
      <formula>"欠"</formula>
    </cfRule>
    <cfRule type="containsText" dxfId="2" priority="758" operator="between" text="欠">
      <formula>NOT(ISERROR(SEARCH("欠",T166)))</formula>
    </cfRule>
  </conditionalFormatting>
  <conditionalFormatting sqref="AC166">
    <cfRule type="cellIs" dxfId="1" priority="866" operator="equal">
      <formula>"未完成"</formula>
    </cfRule>
    <cfRule type="cellIs" dxfId="0" priority="848" operator="equal">
      <formula>"未完成"</formula>
    </cfRule>
  </conditionalFormatting>
  <conditionalFormatting sqref="AD166">
    <cfRule type="cellIs" dxfId="0" priority="740" operator="equal">
      <formula>"未完成"</formula>
    </cfRule>
    <cfRule type="cellIs" dxfId="1" priority="722" operator="equal">
      <formula>"未完成"</formula>
    </cfRule>
  </conditionalFormatting>
  <conditionalFormatting sqref="AE166">
    <cfRule type="cellIs" dxfId="0" priority="1100" operator="equal">
      <formula>"未完成"</formula>
    </cfRule>
    <cfRule type="cellIs" dxfId="1" priority="1082" operator="equal">
      <formula>"未完成"</formula>
    </cfRule>
  </conditionalFormatting>
  <conditionalFormatting sqref="AF166">
    <cfRule type="cellIs" dxfId="0" priority="938" operator="equal">
      <formula>"未完成"</formula>
    </cfRule>
    <cfRule type="cellIs" dxfId="1" priority="920" operator="equal">
      <formula>"未完成"</formula>
    </cfRule>
  </conditionalFormatting>
  <conditionalFormatting sqref="AG166:AH166">
    <cfRule type="cellIs" dxfId="0" priority="902" operator="equal">
      <formula>"未完成"</formula>
    </cfRule>
    <cfRule type="cellIs" dxfId="1" priority="884" operator="equal">
      <formula>"未完成"</formula>
    </cfRule>
  </conditionalFormatting>
  <conditionalFormatting sqref="AI166">
    <cfRule type="cellIs" dxfId="0" priority="1064" operator="equal">
      <formula>"未完成"</formula>
    </cfRule>
    <cfRule type="cellIs" dxfId="1" priority="1046" operator="equal">
      <formula>"未完成"</formula>
    </cfRule>
  </conditionalFormatting>
  <conditionalFormatting sqref="AJ166">
    <cfRule type="cellIs" dxfId="0" priority="1028" operator="equal">
      <formula>"未完成"</formula>
    </cfRule>
    <cfRule type="cellIs" dxfId="1" priority="1010" operator="equal">
      <formula>"未完成"</formula>
    </cfRule>
  </conditionalFormatting>
  <conditionalFormatting sqref="AM166">
    <cfRule type="cellIs" dxfId="0" priority="992" operator="equal">
      <formula>"未完成"</formula>
    </cfRule>
    <cfRule type="cellIs" dxfId="1" priority="974" operator="equal">
      <formula>"未完成"</formula>
    </cfRule>
  </conditionalFormatting>
  <conditionalFormatting sqref="AR166">
    <cfRule type="cellIs" dxfId="0" priority="830" operator="equal">
      <formula>"未完成"</formula>
    </cfRule>
    <cfRule type="cellIs" dxfId="1" priority="812" operator="equal">
      <formula>"未完成"</formula>
    </cfRule>
  </conditionalFormatting>
  <conditionalFormatting sqref="R167">
    <cfRule type="cellIs" dxfId="0" priority="955" operator="equal">
      <formula>"欠"</formula>
    </cfRule>
  </conditionalFormatting>
  <conditionalFormatting sqref="S167">
    <cfRule type="cellIs" dxfId="0" priority="793" operator="equal">
      <formula>"欠"</formula>
    </cfRule>
  </conditionalFormatting>
  <conditionalFormatting sqref="T167">
    <cfRule type="cellIs" dxfId="0" priority="775" operator="equal">
      <formula>"欠"</formula>
    </cfRule>
    <cfRule type="containsText" dxfId="2" priority="757" operator="between" text="欠">
      <formula>NOT(ISERROR(SEARCH("欠",T167)))</formula>
    </cfRule>
  </conditionalFormatting>
  <conditionalFormatting sqref="AC167">
    <cfRule type="cellIs" dxfId="1" priority="865" operator="equal">
      <formula>"未完成"</formula>
    </cfRule>
    <cfRule type="cellIs" dxfId="0" priority="847" operator="equal">
      <formula>"未完成"</formula>
    </cfRule>
  </conditionalFormatting>
  <conditionalFormatting sqref="AD167">
    <cfRule type="cellIs" dxfId="0" priority="739" operator="equal">
      <formula>"未完成"</formula>
    </cfRule>
    <cfRule type="cellIs" dxfId="1" priority="721" operator="equal">
      <formula>"未完成"</formula>
    </cfRule>
  </conditionalFormatting>
  <conditionalFormatting sqref="AE167">
    <cfRule type="cellIs" dxfId="0" priority="1099" operator="equal">
      <formula>"未完成"</formula>
    </cfRule>
    <cfRule type="cellIs" dxfId="1" priority="1081" operator="equal">
      <formula>"未完成"</formula>
    </cfRule>
  </conditionalFormatting>
  <conditionalFormatting sqref="AF167">
    <cfRule type="cellIs" dxfId="0" priority="937" operator="equal">
      <formula>"未完成"</formula>
    </cfRule>
    <cfRule type="cellIs" dxfId="1" priority="919" operator="equal">
      <formula>"未完成"</formula>
    </cfRule>
  </conditionalFormatting>
  <conditionalFormatting sqref="AG167:AH167">
    <cfRule type="cellIs" dxfId="0" priority="901" operator="equal">
      <formula>"未完成"</formula>
    </cfRule>
    <cfRule type="cellIs" dxfId="1" priority="883" operator="equal">
      <formula>"未完成"</formula>
    </cfRule>
  </conditionalFormatting>
  <conditionalFormatting sqref="AI167">
    <cfRule type="cellIs" dxfId="0" priority="1063" operator="equal">
      <formula>"未完成"</formula>
    </cfRule>
    <cfRule type="cellIs" dxfId="1" priority="1045" operator="equal">
      <formula>"未完成"</formula>
    </cfRule>
  </conditionalFormatting>
  <conditionalFormatting sqref="AJ167">
    <cfRule type="cellIs" dxfId="0" priority="1027" operator="equal">
      <formula>"未完成"</formula>
    </cfRule>
    <cfRule type="cellIs" dxfId="1" priority="1009" operator="equal">
      <formula>"未完成"</formula>
    </cfRule>
  </conditionalFormatting>
  <conditionalFormatting sqref="AM167">
    <cfRule type="cellIs" dxfId="0" priority="991" operator="equal">
      <formula>"未完成"</formula>
    </cfRule>
    <cfRule type="cellIs" dxfId="1" priority="973" operator="equal">
      <formula>"未完成"</formula>
    </cfRule>
  </conditionalFormatting>
  <conditionalFormatting sqref="AR167">
    <cfRule type="cellIs" dxfId="0" priority="829" operator="equal">
      <formula>"未完成"</formula>
    </cfRule>
    <cfRule type="cellIs" dxfId="1" priority="811" operator="equal">
      <formula>"未完成"</formula>
    </cfRule>
  </conditionalFormatting>
  <conditionalFormatting sqref="R168">
    <cfRule type="cellIs" dxfId="0" priority="954" operator="equal">
      <formula>"欠"</formula>
    </cfRule>
  </conditionalFormatting>
  <conditionalFormatting sqref="S168">
    <cfRule type="cellIs" dxfId="0" priority="792" operator="equal">
      <formula>"欠"</formula>
    </cfRule>
  </conditionalFormatting>
  <conditionalFormatting sqref="T168">
    <cfRule type="cellIs" dxfId="0" priority="774" operator="equal">
      <formula>"欠"</formula>
    </cfRule>
    <cfRule type="containsText" dxfId="2" priority="756" operator="between" text="欠">
      <formula>NOT(ISERROR(SEARCH("欠",T168)))</formula>
    </cfRule>
  </conditionalFormatting>
  <conditionalFormatting sqref="AC168">
    <cfRule type="cellIs" dxfId="1" priority="864" operator="equal">
      <formula>"未完成"</formula>
    </cfRule>
    <cfRule type="cellIs" dxfId="0" priority="846" operator="equal">
      <formula>"未完成"</formula>
    </cfRule>
  </conditionalFormatting>
  <conditionalFormatting sqref="AD168">
    <cfRule type="cellIs" dxfId="0" priority="738" operator="equal">
      <formula>"未完成"</formula>
    </cfRule>
    <cfRule type="cellIs" dxfId="1" priority="720" operator="equal">
      <formula>"未完成"</formula>
    </cfRule>
  </conditionalFormatting>
  <conditionalFormatting sqref="AE168">
    <cfRule type="cellIs" dxfId="0" priority="1098" operator="equal">
      <formula>"未完成"</formula>
    </cfRule>
    <cfRule type="cellIs" dxfId="1" priority="1080" operator="equal">
      <formula>"未完成"</formula>
    </cfRule>
  </conditionalFormatting>
  <conditionalFormatting sqref="AF168">
    <cfRule type="cellIs" dxfId="0" priority="936" operator="equal">
      <formula>"未完成"</formula>
    </cfRule>
    <cfRule type="cellIs" dxfId="1" priority="918" operator="equal">
      <formula>"未完成"</formula>
    </cfRule>
  </conditionalFormatting>
  <conditionalFormatting sqref="AG168:AH168">
    <cfRule type="cellIs" dxfId="0" priority="900" operator="equal">
      <formula>"未完成"</formula>
    </cfRule>
    <cfRule type="cellIs" dxfId="1" priority="882" operator="equal">
      <formula>"未完成"</formula>
    </cfRule>
  </conditionalFormatting>
  <conditionalFormatting sqref="AI168">
    <cfRule type="cellIs" dxfId="0" priority="1062" operator="equal">
      <formula>"未完成"</formula>
    </cfRule>
    <cfRule type="cellIs" dxfId="1" priority="1044" operator="equal">
      <formula>"未完成"</formula>
    </cfRule>
  </conditionalFormatting>
  <conditionalFormatting sqref="AJ168">
    <cfRule type="cellIs" dxfId="0" priority="1026" operator="equal">
      <formula>"未完成"</formula>
    </cfRule>
    <cfRule type="cellIs" dxfId="1" priority="1008" operator="equal">
      <formula>"未完成"</formula>
    </cfRule>
  </conditionalFormatting>
  <conditionalFormatting sqref="AM168">
    <cfRule type="cellIs" dxfId="0" priority="990" operator="equal">
      <formula>"未完成"</formula>
    </cfRule>
    <cfRule type="cellIs" dxfId="1" priority="972" operator="equal">
      <formula>"未完成"</formula>
    </cfRule>
  </conditionalFormatting>
  <conditionalFormatting sqref="AR168">
    <cfRule type="cellIs" dxfId="0" priority="828" operator="equal">
      <formula>"未完成"</formula>
    </cfRule>
    <cfRule type="cellIs" dxfId="1" priority="810" operator="equal">
      <formula>"未完成"</formula>
    </cfRule>
  </conditionalFormatting>
  <conditionalFormatting sqref="R169">
    <cfRule type="cellIs" dxfId="0" priority="953" operator="equal">
      <formula>"欠"</formula>
    </cfRule>
  </conditionalFormatting>
  <conditionalFormatting sqref="S169">
    <cfRule type="cellIs" dxfId="0" priority="791" operator="equal">
      <formula>"欠"</formula>
    </cfRule>
  </conditionalFormatting>
  <conditionalFormatting sqref="T169">
    <cfRule type="cellIs" dxfId="0" priority="773" operator="equal">
      <formula>"欠"</formula>
    </cfRule>
    <cfRule type="containsText" dxfId="2" priority="755" operator="between" text="欠">
      <formula>NOT(ISERROR(SEARCH("欠",T169)))</formula>
    </cfRule>
  </conditionalFormatting>
  <conditionalFormatting sqref="AC169">
    <cfRule type="cellIs" dxfId="1" priority="863" operator="equal">
      <formula>"未完成"</formula>
    </cfRule>
    <cfRule type="cellIs" dxfId="0" priority="845" operator="equal">
      <formula>"未完成"</formula>
    </cfRule>
  </conditionalFormatting>
  <conditionalFormatting sqref="AD169">
    <cfRule type="cellIs" dxfId="0" priority="737" operator="equal">
      <formula>"未完成"</formula>
    </cfRule>
    <cfRule type="cellIs" dxfId="1" priority="719" operator="equal">
      <formula>"未完成"</formula>
    </cfRule>
  </conditionalFormatting>
  <conditionalFormatting sqref="AE169">
    <cfRule type="cellIs" dxfId="0" priority="1097" operator="equal">
      <formula>"未完成"</formula>
    </cfRule>
    <cfRule type="cellIs" dxfId="1" priority="1079" operator="equal">
      <formula>"未完成"</formula>
    </cfRule>
  </conditionalFormatting>
  <conditionalFormatting sqref="AF169">
    <cfRule type="cellIs" dxfId="0" priority="935" operator="equal">
      <formula>"未完成"</formula>
    </cfRule>
    <cfRule type="cellIs" dxfId="1" priority="917" operator="equal">
      <formula>"未完成"</formula>
    </cfRule>
  </conditionalFormatting>
  <conditionalFormatting sqref="AG169:AH169">
    <cfRule type="cellIs" dxfId="0" priority="899" operator="equal">
      <formula>"未完成"</formula>
    </cfRule>
    <cfRule type="cellIs" dxfId="1" priority="881" operator="equal">
      <formula>"未完成"</formula>
    </cfRule>
  </conditionalFormatting>
  <conditionalFormatting sqref="AI169">
    <cfRule type="cellIs" dxfId="0" priority="1061" operator="equal">
      <formula>"未完成"</formula>
    </cfRule>
    <cfRule type="cellIs" dxfId="1" priority="1043" operator="equal">
      <formula>"未完成"</formula>
    </cfRule>
  </conditionalFormatting>
  <conditionalFormatting sqref="AJ169">
    <cfRule type="cellIs" dxfId="0" priority="1025" operator="equal">
      <formula>"未完成"</formula>
    </cfRule>
    <cfRule type="cellIs" dxfId="1" priority="1007" operator="equal">
      <formula>"未完成"</formula>
    </cfRule>
  </conditionalFormatting>
  <conditionalFormatting sqref="AM169">
    <cfRule type="cellIs" dxfId="0" priority="989" operator="equal">
      <formula>"未完成"</formula>
    </cfRule>
    <cfRule type="cellIs" dxfId="1" priority="971" operator="equal">
      <formula>"未完成"</formula>
    </cfRule>
  </conditionalFormatting>
  <conditionalFormatting sqref="AR169">
    <cfRule type="cellIs" dxfId="0" priority="827" operator="equal">
      <formula>"未完成"</formula>
    </cfRule>
    <cfRule type="cellIs" dxfId="1" priority="809" operator="equal">
      <formula>"未完成"</formula>
    </cfRule>
  </conditionalFormatting>
  <conditionalFormatting sqref="R170">
    <cfRule type="cellIs" dxfId="0" priority="952" operator="equal">
      <formula>"欠"</formula>
    </cfRule>
  </conditionalFormatting>
  <conditionalFormatting sqref="S170">
    <cfRule type="cellIs" dxfId="0" priority="790" operator="equal">
      <formula>"欠"</formula>
    </cfRule>
  </conditionalFormatting>
  <conditionalFormatting sqref="T170">
    <cfRule type="cellIs" dxfId="0" priority="772" operator="equal">
      <formula>"欠"</formula>
    </cfRule>
    <cfRule type="containsText" dxfId="2" priority="754" operator="between" text="欠">
      <formula>NOT(ISERROR(SEARCH("欠",T170)))</formula>
    </cfRule>
  </conditionalFormatting>
  <conditionalFormatting sqref="AC170">
    <cfRule type="cellIs" dxfId="1" priority="862" operator="equal">
      <formula>"未完成"</formula>
    </cfRule>
    <cfRule type="cellIs" dxfId="0" priority="844" operator="equal">
      <formula>"未完成"</formula>
    </cfRule>
  </conditionalFormatting>
  <conditionalFormatting sqref="AD170">
    <cfRule type="cellIs" dxfId="0" priority="736" operator="equal">
      <formula>"未完成"</formula>
    </cfRule>
    <cfRule type="cellIs" dxfId="1" priority="718" operator="equal">
      <formula>"未完成"</formula>
    </cfRule>
  </conditionalFormatting>
  <conditionalFormatting sqref="AE170">
    <cfRule type="cellIs" dxfId="0" priority="1096" operator="equal">
      <formula>"未完成"</formula>
    </cfRule>
    <cfRule type="cellIs" dxfId="1" priority="1078" operator="equal">
      <formula>"未完成"</formula>
    </cfRule>
  </conditionalFormatting>
  <conditionalFormatting sqref="AF170">
    <cfRule type="cellIs" dxfId="0" priority="934" operator="equal">
      <formula>"未完成"</formula>
    </cfRule>
    <cfRule type="cellIs" dxfId="1" priority="916" operator="equal">
      <formula>"未完成"</formula>
    </cfRule>
  </conditionalFormatting>
  <conditionalFormatting sqref="AG170:AH170">
    <cfRule type="cellIs" dxfId="0" priority="898" operator="equal">
      <formula>"未完成"</formula>
    </cfRule>
    <cfRule type="cellIs" dxfId="1" priority="880" operator="equal">
      <formula>"未完成"</formula>
    </cfRule>
  </conditionalFormatting>
  <conditionalFormatting sqref="AI170">
    <cfRule type="cellIs" dxfId="0" priority="1060" operator="equal">
      <formula>"未完成"</formula>
    </cfRule>
    <cfRule type="cellIs" dxfId="1" priority="1042" operator="equal">
      <formula>"未完成"</formula>
    </cfRule>
  </conditionalFormatting>
  <conditionalFormatting sqref="AJ170">
    <cfRule type="cellIs" dxfId="0" priority="1024" operator="equal">
      <formula>"未完成"</formula>
    </cfRule>
    <cfRule type="cellIs" dxfId="1" priority="1006" operator="equal">
      <formula>"未完成"</formula>
    </cfRule>
  </conditionalFormatting>
  <conditionalFormatting sqref="AM170">
    <cfRule type="cellIs" dxfId="0" priority="988" operator="equal">
      <formula>"未完成"</formula>
    </cfRule>
    <cfRule type="cellIs" dxfId="1" priority="970" operator="equal">
      <formula>"未完成"</formula>
    </cfRule>
  </conditionalFormatting>
  <conditionalFormatting sqref="AR170">
    <cfRule type="cellIs" dxfId="0" priority="826" operator="equal">
      <formula>"未完成"</formula>
    </cfRule>
    <cfRule type="cellIs" dxfId="1" priority="808" operator="equal">
      <formula>"未完成"</formula>
    </cfRule>
  </conditionalFormatting>
  <conditionalFormatting sqref="R171">
    <cfRule type="cellIs" dxfId="0" priority="951" operator="equal">
      <formula>"欠"</formula>
    </cfRule>
  </conditionalFormatting>
  <conditionalFormatting sqref="S171">
    <cfRule type="cellIs" dxfId="0" priority="789" operator="equal">
      <formula>"欠"</formula>
    </cfRule>
  </conditionalFormatting>
  <conditionalFormatting sqref="T171">
    <cfRule type="cellIs" dxfId="0" priority="771" operator="equal">
      <formula>"欠"</formula>
    </cfRule>
    <cfRule type="containsText" dxfId="2" priority="753" operator="between" text="欠">
      <formula>NOT(ISERROR(SEARCH("欠",T171)))</formula>
    </cfRule>
  </conditionalFormatting>
  <conditionalFormatting sqref="AC171">
    <cfRule type="cellIs" dxfId="1" priority="861" operator="equal">
      <formula>"未完成"</formula>
    </cfRule>
    <cfRule type="cellIs" dxfId="0" priority="843" operator="equal">
      <formula>"未完成"</formula>
    </cfRule>
  </conditionalFormatting>
  <conditionalFormatting sqref="AD171">
    <cfRule type="cellIs" dxfId="0" priority="735" operator="equal">
      <formula>"未完成"</formula>
    </cfRule>
    <cfRule type="cellIs" dxfId="1" priority="717" operator="equal">
      <formula>"未完成"</formula>
    </cfRule>
  </conditionalFormatting>
  <conditionalFormatting sqref="AE171">
    <cfRule type="cellIs" dxfId="0" priority="1095" operator="equal">
      <formula>"未完成"</formula>
    </cfRule>
    <cfRule type="cellIs" dxfId="1" priority="1077" operator="equal">
      <formula>"未完成"</formula>
    </cfRule>
  </conditionalFormatting>
  <conditionalFormatting sqref="AF171">
    <cfRule type="cellIs" dxfId="0" priority="933" operator="equal">
      <formula>"未完成"</formula>
    </cfRule>
    <cfRule type="cellIs" dxfId="1" priority="915" operator="equal">
      <formula>"未完成"</formula>
    </cfRule>
  </conditionalFormatting>
  <conditionalFormatting sqref="AG171:AH171">
    <cfRule type="cellIs" dxfId="0" priority="897" operator="equal">
      <formula>"未完成"</formula>
    </cfRule>
    <cfRule type="cellIs" dxfId="1" priority="879" operator="equal">
      <formula>"未完成"</formula>
    </cfRule>
  </conditionalFormatting>
  <conditionalFormatting sqref="AI171">
    <cfRule type="cellIs" dxfId="0" priority="1059" operator="equal">
      <formula>"未完成"</formula>
    </cfRule>
    <cfRule type="cellIs" dxfId="1" priority="1041" operator="equal">
      <formula>"未完成"</formula>
    </cfRule>
  </conditionalFormatting>
  <conditionalFormatting sqref="AJ171">
    <cfRule type="cellIs" dxfId="0" priority="1023" operator="equal">
      <formula>"未完成"</formula>
    </cfRule>
    <cfRule type="cellIs" dxfId="1" priority="1005" operator="equal">
      <formula>"未完成"</formula>
    </cfRule>
  </conditionalFormatting>
  <conditionalFormatting sqref="AM171">
    <cfRule type="cellIs" dxfId="0" priority="987" operator="equal">
      <formula>"未完成"</formula>
    </cfRule>
    <cfRule type="cellIs" dxfId="1" priority="969" operator="equal">
      <formula>"未完成"</formula>
    </cfRule>
  </conditionalFormatting>
  <conditionalFormatting sqref="AR171">
    <cfRule type="cellIs" dxfId="0" priority="825" operator="equal">
      <formula>"未完成"</formula>
    </cfRule>
    <cfRule type="cellIs" dxfId="1" priority="807" operator="equal">
      <formula>"未完成"</formula>
    </cfRule>
  </conditionalFormatting>
  <conditionalFormatting sqref="R172">
    <cfRule type="cellIs" dxfId="0" priority="950" operator="equal">
      <formula>"欠"</formula>
    </cfRule>
  </conditionalFormatting>
  <conditionalFormatting sqref="S172">
    <cfRule type="cellIs" dxfId="0" priority="788" operator="equal">
      <formula>"欠"</formula>
    </cfRule>
  </conditionalFormatting>
  <conditionalFormatting sqref="T172">
    <cfRule type="cellIs" dxfId="0" priority="770" operator="equal">
      <formula>"欠"</formula>
    </cfRule>
    <cfRule type="containsText" dxfId="2" priority="752" operator="between" text="欠">
      <formula>NOT(ISERROR(SEARCH("欠",T172)))</formula>
    </cfRule>
  </conditionalFormatting>
  <conditionalFormatting sqref="AC172">
    <cfRule type="cellIs" dxfId="1" priority="860" operator="equal">
      <formula>"未完成"</formula>
    </cfRule>
    <cfRule type="cellIs" dxfId="0" priority="842" operator="equal">
      <formula>"未完成"</formula>
    </cfRule>
  </conditionalFormatting>
  <conditionalFormatting sqref="AD172">
    <cfRule type="cellIs" dxfId="0" priority="734" operator="equal">
      <formula>"未完成"</formula>
    </cfRule>
    <cfRule type="cellIs" dxfId="1" priority="716" operator="equal">
      <formula>"未完成"</formula>
    </cfRule>
  </conditionalFormatting>
  <conditionalFormatting sqref="AE172">
    <cfRule type="cellIs" dxfId="0" priority="1094" operator="equal">
      <formula>"未完成"</formula>
    </cfRule>
    <cfRule type="cellIs" dxfId="1" priority="1076" operator="equal">
      <formula>"未完成"</formula>
    </cfRule>
  </conditionalFormatting>
  <conditionalFormatting sqref="AF172">
    <cfRule type="cellIs" dxfId="0" priority="932" operator="equal">
      <formula>"未完成"</formula>
    </cfRule>
    <cfRule type="cellIs" dxfId="1" priority="914" operator="equal">
      <formula>"未完成"</formula>
    </cfRule>
  </conditionalFormatting>
  <conditionalFormatting sqref="AG172:AH172">
    <cfRule type="cellIs" dxfId="0" priority="896" operator="equal">
      <formula>"未完成"</formula>
    </cfRule>
    <cfRule type="cellIs" dxfId="1" priority="878" operator="equal">
      <formula>"未完成"</formula>
    </cfRule>
  </conditionalFormatting>
  <conditionalFormatting sqref="AI172">
    <cfRule type="cellIs" dxfId="0" priority="1058" operator="equal">
      <formula>"未完成"</formula>
    </cfRule>
    <cfRule type="cellIs" dxfId="1" priority="1040" operator="equal">
      <formula>"未完成"</formula>
    </cfRule>
  </conditionalFormatting>
  <conditionalFormatting sqref="AJ172">
    <cfRule type="cellIs" dxfId="0" priority="1022" operator="equal">
      <formula>"未完成"</formula>
    </cfRule>
    <cfRule type="cellIs" dxfId="1" priority="1004" operator="equal">
      <formula>"未完成"</formula>
    </cfRule>
  </conditionalFormatting>
  <conditionalFormatting sqref="AM172">
    <cfRule type="cellIs" dxfId="0" priority="986" operator="equal">
      <formula>"未完成"</formula>
    </cfRule>
    <cfRule type="cellIs" dxfId="1" priority="968" operator="equal">
      <formula>"未完成"</formula>
    </cfRule>
  </conditionalFormatting>
  <conditionalFormatting sqref="AR172">
    <cfRule type="cellIs" dxfId="0" priority="824" operator="equal">
      <formula>"未完成"</formula>
    </cfRule>
    <cfRule type="cellIs" dxfId="1" priority="806" operator="equal">
      <formula>"未完成"</formula>
    </cfRule>
  </conditionalFormatting>
  <conditionalFormatting sqref="R173">
    <cfRule type="cellIs" dxfId="0" priority="949" operator="equal">
      <formula>"欠"</formula>
    </cfRule>
  </conditionalFormatting>
  <conditionalFormatting sqref="S173">
    <cfRule type="cellIs" dxfId="0" priority="787" operator="equal">
      <formula>"欠"</formula>
    </cfRule>
  </conditionalFormatting>
  <conditionalFormatting sqref="T173">
    <cfRule type="cellIs" dxfId="0" priority="769" operator="equal">
      <formula>"欠"</formula>
    </cfRule>
    <cfRule type="containsText" dxfId="2" priority="751" operator="between" text="欠">
      <formula>NOT(ISERROR(SEARCH("欠",T173)))</formula>
    </cfRule>
  </conditionalFormatting>
  <conditionalFormatting sqref="AC173">
    <cfRule type="cellIs" dxfId="1" priority="859" operator="equal">
      <formula>"未完成"</formula>
    </cfRule>
    <cfRule type="cellIs" dxfId="0" priority="841" operator="equal">
      <formula>"未完成"</formula>
    </cfRule>
  </conditionalFormatting>
  <conditionalFormatting sqref="AD173">
    <cfRule type="cellIs" dxfId="0" priority="733" operator="equal">
      <formula>"未完成"</formula>
    </cfRule>
    <cfRule type="cellIs" dxfId="1" priority="715" operator="equal">
      <formula>"未完成"</formula>
    </cfRule>
  </conditionalFormatting>
  <conditionalFormatting sqref="AE173">
    <cfRule type="cellIs" dxfId="0" priority="1093" operator="equal">
      <formula>"未完成"</formula>
    </cfRule>
    <cfRule type="cellIs" dxfId="1" priority="1075" operator="equal">
      <formula>"未完成"</formula>
    </cfRule>
  </conditionalFormatting>
  <conditionalFormatting sqref="AF173">
    <cfRule type="cellIs" dxfId="0" priority="931" operator="equal">
      <formula>"未完成"</formula>
    </cfRule>
    <cfRule type="cellIs" dxfId="1" priority="913" operator="equal">
      <formula>"未完成"</formula>
    </cfRule>
  </conditionalFormatting>
  <conditionalFormatting sqref="AG173:AH173">
    <cfRule type="cellIs" dxfId="0" priority="895" operator="equal">
      <formula>"未完成"</formula>
    </cfRule>
    <cfRule type="cellIs" dxfId="1" priority="877" operator="equal">
      <formula>"未完成"</formula>
    </cfRule>
  </conditionalFormatting>
  <conditionalFormatting sqref="AI173">
    <cfRule type="cellIs" dxfId="0" priority="1057" operator="equal">
      <formula>"未完成"</formula>
    </cfRule>
    <cfRule type="cellIs" dxfId="1" priority="1039" operator="equal">
      <formula>"未完成"</formula>
    </cfRule>
  </conditionalFormatting>
  <conditionalFormatting sqref="AJ173">
    <cfRule type="cellIs" dxfId="0" priority="1021" operator="equal">
      <formula>"未完成"</formula>
    </cfRule>
    <cfRule type="cellIs" dxfId="1" priority="1003" operator="equal">
      <formula>"未完成"</formula>
    </cfRule>
  </conditionalFormatting>
  <conditionalFormatting sqref="AM173">
    <cfRule type="cellIs" dxfId="0" priority="985" operator="equal">
      <formula>"未完成"</formula>
    </cfRule>
    <cfRule type="cellIs" dxfId="1" priority="967" operator="equal">
      <formula>"未完成"</formula>
    </cfRule>
  </conditionalFormatting>
  <conditionalFormatting sqref="AR173">
    <cfRule type="cellIs" dxfId="0" priority="823" operator="equal">
      <formula>"未完成"</formula>
    </cfRule>
    <cfRule type="cellIs" dxfId="1" priority="805" operator="equal">
      <formula>"未完成"</formula>
    </cfRule>
  </conditionalFormatting>
  <conditionalFormatting sqref="R174">
    <cfRule type="cellIs" dxfId="0" priority="948" operator="equal">
      <formula>"欠"</formula>
    </cfRule>
  </conditionalFormatting>
  <conditionalFormatting sqref="S174">
    <cfRule type="cellIs" dxfId="0" priority="786" operator="equal">
      <formula>"欠"</formula>
    </cfRule>
  </conditionalFormatting>
  <conditionalFormatting sqref="T174">
    <cfRule type="cellIs" dxfId="0" priority="768" operator="equal">
      <formula>"欠"</formula>
    </cfRule>
    <cfRule type="containsText" dxfId="2" priority="750" operator="between" text="欠">
      <formula>NOT(ISERROR(SEARCH("欠",T174)))</formula>
    </cfRule>
  </conditionalFormatting>
  <conditionalFormatting sqref="AC174">
    <cfRule type="cellIs" dxfId="1" priority="858" operator="equal">
      <formula>"未完成"</formula>
    </cfRule>
    <cfRule type="cellIs" dxfId="0" priority="840" operator="equal">
      <formula>"未完成"</formula>
    </cfRule>
  </conditionalFormatting>
  <conditionalFormatting sqref="AD174">
    <cfRule type="cellIs" dxfId="0" priority="732" operator="equal">
      <formula>"未完成"</formula>
    </cfRule>
    <cfRule type="cellIs" dxfId="1" priority="714" operator="equal">
      <formula>"未完成"</formula>
    </cfRule>
  </conditionalFormatting>
  <conditionalFormatting sqref="AE174">
    <cfRule type="cellIs" dxfId="0" priority="1092" operator="equal">
      <formula>"未完成"</formula>
    </cfRule>
    <cfRule type="cellIs" dxfId="1" priority="1074" operator="equal">
      <formula>"未完成"</formula>
    </cfRule>
  </conditionalFormatting>
  <conditionalFormatting sqref="AF174">
    <cfRule type="cellIs" dxfId="0" priority="930" operator="equal">
      <formula>"未完成"</formula>
    </cfRule>
    <cfRule type="cellIs" dxfId="1" priority="912" operator="equal">
      <formula>"未完成"</formula>
    </cfRule>
  </conditionalFormatting>
  <conditionalFormatting sqref="AG174:AH174">
    <cfRule type="cellIs" dxfId="0" priority="894" operator="equal">
      <formula>"未完成"</formula>
    </cfRule>
    <cfRule type="cellIs" dxfId="1" priority="876" operator="equal">
      <formula>"未完成"</formula>
    </cfRule>
  </conditionalFormatting>
  <conditionalFormatting sqref="AI174">
    <cfRule type="cellIs" dxfId="0" priority="1056" operator="equal">
      <formula>"未完成"</formula>
    </cfRule>
    <cfRule type="cellIs" dxfId="1" priority="1038" operator="equal">
      <formula>"未完成"</formula>
    </cfRule>
  </conditionalFormatting>
  <conditionalFormatting sqref="AJ174">
    <cfRule type="cellIs" dxfId="0" priority="1020" operator="equal">
      <formula>"未完成"</formula>
    </cfRule>
    <cfRule type="cellIs" dxfId="1" priority="1002" operator="equal">
      <formula>"未完成"</formula>
    </cfRule>
  </conditionalFormatting>
  <conditionalFormatting sqref="AM174">
    <cfRule type="cellIs" dxfId="0" priority="984" operator="equal">
      <formula>"未完成"</formula>
    </cfRule>
    <cfRule type="cellIs" dxfId="1" priority="966" operator="equal">
      <formula>"未完成"</formula>
    </cfRule>
  </conditionalFormatting>
  <conditionalFormatting sqref="AR174">
    <cfRule type="cellIs" dxfId="0" priority="822" operator="equal">
      <formula>"未完成"</formula>
    </cfRule>
    <cfRule type="cellIs" dxfId="1" priority="804" operator="equal">
      <formula>"未完成"</formula>
    </cfRule>
  </conditionalFormatting>
  <conditionalFormatting sqref="R175">
    <cfRule type="cellIs" dxfId="0" priority="947" operator="equal">
      <formula>"欠"</formula>
    </cfRule>
  </conditionalFormatting>
  <conditionalFormatting sqref="S175">
    <cfRule type="cellIs" dxfId="0" priority="785" operator="equal">
      <formula>"欠"</formula>
    </cfRule>
  </conditionalFormatting>
  <conditionalFormatting sqref="T175">
    <cfRule type="cellIs" dxfId="0" priority="767" operator="equal">
      <formula>"欠"</formula>
    </cfRule>
    <cfRule type="containsText" dxfId="2" priority="749" operator="between" text="欠">
      <formula>NOT(ISERROR(SEARCH("欠",T175)))</formula>
    </cfRule>
  </conditionalFormatting>
  <conditionalFormatting sqref="AC175">
    <cfRule type="cellIs" dxfId="1" priority="857" operator="equal">
      <formula>"未完成"</formula>
    </cfRule>
    <cfRule type="cellIs" dxfId="0" priority="839" operator="equal">
      <formula>"未完成"</formula>
    </cfRule>
  </conditionalFormatting>
  <conditionalFormatting sqref="AD175">
    <cfRule type="cellIs" dxfId="0" priority="731" operator="equal">
      <formula>"未完成"</formula>
    </cfRule>
    <cfRule type="cellIs" dxfId="1" priority="713" operator="equal">
      <formula>"未完成"</formula>
    </cfRule>
  </conditionalFormatting>
  <conditionalFormatting sqref="AE175">
    <cfRule type="cellIs" dxfId="0" priority="1091" operator="equal">
      <formula>"未完成"</formula>
    </cfRule>
    <cfRule type="cellIs" dxfId="1" priority="1073" operator="equal">
      <formula>"未完成"</formula>
    </cfRule>
  </conditionalFormatting>
  <conditionalFormatting sqref="AF175">
    <cfRule type="cellIs" dxfId="0" priority="929" operator="equal">
      <formula>"未完成"</formula>
    </cfRule>
    <cfRule type="cellIs" dxfId="1" priority="911" operator="equal">
      <formula>"未完成"</formula>
    </cfRule>
  </conditionalFormatting>
  <conditionalFormatting sqref="AG175:AH175">
    <cfRule type="cellIs" dxfId="0" priority="893" operator="equal">
      <formula>"未完成"</formula>
    </cfRule>
    <cfRule type="cellIs" dxfId="1" priority="875" operator="equal">
      <formula>"未完成"</formula>
    </cfRule>
  </conditionalFormatting>
  <conditionalFormatting sqref="AI175">
    <cfRule type="cellIs" dxfId="0" priority="1055" operator="equal">
      <formula>"未完成"</formula>
    </cfRule>
    <cfRule type="cellIs" dxfId="1" priority="1037" operator="equal">
      <formula>"未完成"</formula>
    </cfRule>
  </conditionalFormatting>
  <conditionalFormatting sqref="AJ175">
    <cfRule type="cellIs" dxfId="0" priority="1019" operator="equal">
      <formula>"未完成"</formula>
    </cfRule>
    <cfRule type="cellIs" dxfId="1" priority="1001" operator="equal">
      <formula>"未完成"</formula>
    </cfRule>
  </conditionalFormatting>
  <conditionalFormatting sqref="AM175">
    <cfRule type="cellIs" dxfId="0" priority="983" operator="equal">
      <formula>"未完成"</formula>
    </cfRule>
    <cfRule type="cellIs" dxfId="1" priority="965" operator="equal">
      <formula>"未完成"</formula>
    </cfRule>
  </conditionalFormatting>
  <conditionalFormatting sqref="AR175">
    <cfRule type="cellIs" dxfId="0" priority="821" operator="equal">
      <formula>"未完成"</formula>
    </cfRule>
    <cfRule type="cellIs" dxfId="1" priority="803" operator="equal">
      <formula>"未完成"</formula>
    </cfRule>
  </conditionalFormatting>
  <conditionalFormatting sqref="R176">
    <cfRule type="cellIs" dxfId="0" priority="946" operator="equal">
      <formula>"欠"</formula>
    </cfRule>
  </conditionalFormatting>
  <conditionalFormatting sqref="S176">
    <cfRule type="cellIs" dxfId="0" priority="784" operator="equal">
      <formula>"欠"</formula>
    </cfRule>
  </conditionalFormatting>
  <conditionalFormatting sqref="T176">
    <cfRule type="cellIs" dxfId="0" priority="766" operator="equal">
      <formula>"欠"</formula>
    </cfRule>
    <cfRule type="containsText" dxfId="2" priority="748" operator="between" text="欠">
      <formula>NOT(ISERROR(SEARCH("欠",T176)))</formula>
    </cfRule>
  </conditionalFormatting>
  <conditionalFormatting sqref="AC176">
    <cfRule type="cellIs" dxfId="1" priority="856" operator="equal">
      <formula>"未完成"</formula>
    </cfRule>
    <cfRule type="cellIs" dxfId="0" priority="838" operator="equal">
      <formula>"未完成"</formula>
    </cfRule>
  </conditionalFormatting>
  <conditionalFormatting sqref="AD176">
    <cfRule type="cellIs" dxfId="0" priority="730" operator="equal">
      <formula>"未完成"</formula>
    </cfRule>
    <cfRule type="cellIs" dxfId="1" priority="712" operator="equal">
      <formula>"未完成"</formula>
    </cfRule>
  </conditionalFormatting>
  <conditionalFormatting sqref="AE176">
    <cfRule type="cellIs" dxfId="0" priority="1090" operator="equal">
      <formula>"未完成"</formula>
    </cfRule>
    <cfRule type="cellIs" dxfId="1" priority="1072" operator="equal">
      <formula>"未完成"</formula>
    </cfRule>
  </conditionalFormatting>
  <conditionalFormatting sqref="AF176">
    <cfRule type="cellIs" dxfId="0" priority="928" operator="equal">
      <formula>"未完成"</formula>
    </cfRule>
    <cfRule type="cellIs" dxfId="1" priority="910" operator="equal">
      <formula>"未完成"</formula>
    </cfRule>
  </conditionalFormatting>
  <conditionalFormatting sqref="AG176:AH176">
    <cfRule type="cellIs" dxfId="0" priority="892" operator="equal">
      <formula>"未完成"</formula>
    </cfRule>
    <cfRule type="cellIs" dxfId="1" priority="874" operator="equal">
      <formula>"未完成"</formula>
    </cfRule>
  </conditionalFormatting>
  <conditionalFormatting sqref="AI176">
    <cfRule type="cellIs" dxfId="0" priority="1054" operator="equal">
      <formula>"未完成"</formula>
    </cfRule>
    <cfRule type="cellIs" dxfId="1" priority="1036" operator="equal">
      <formula>"未完成"</formula>
    </cfRule>
  </conditionalFormatting>
  <conditionalFormatting sqref="AJ176">
    <cfRule type="cellIs" dxfId="0" priority="1018" operator="equal">
      <formula>"未完成"</formula>
    </cfRule>
    <cfRule type="cellIs" dxfId="1" priority="1000" operator="equal">
      <formula>"未完成"</formula>
    </cfRule>
  </conditionalFormatting>
  <conditionalFormatting sqref="AM176">
    <cfRule type="cellIs" dxfId="0" priority="982" operator="equal">
      <formula>"未完成"</formula>
    </cfRule>
    <cfRule type="cellIs" dxfId="1" priority="964" operator="equal">
      <formula>"未完成"</formula>
    </cfRule>
  </conditionalFormatting>
  <conditionalFormatting sqref="AR176">
    <cfRule type="cellIs" dxfId="0" priority="820" operator="equal">
      <formula>"未完成"</formula>
    </cfRule>
    <cfRule type="cellIs" dxfId="1" priority="802" operator="equal">
      <formula>"未完成"</formula>
    </cfRule>
  </conditionalFormatting>
  <conditionalFormatting sqref="R177">
    <cfRule type="cellIs" dxfId="0" priority="945" operator="equal">
      <formula>"欠"</formula>
    </cfRule>
  </conditionalFormatting>
  <conditionalFormatting sqref="S177">
    <cfRule type="cellIs" dxfId="0" priority="783" operator="equal">
      <formula>"欠"</formula>
    </cfRule>
  </conditionalFormatting>
  <conditionalFormatting sqref="T177">
    <cfRule type="cellIs" dxfId="0" priority="765" operator="equal">
      <formula>"欠"</formula>
    </cfRule>
    <cfRule type="containsText" dxfId="2" priority="747" operator="between" text="欠">
      <formula>NOT(ISERROR(SEARCH("欠",T177)))</formula>
    </cfRule>
  </conditionalFormatting>
  <conditionalFormatting sqref="AC177">
    <cfRule type="cellIs" dxfId="1" priority="855" operator="equal">
      <formula>"未完成"</formula>
    </cfRule>
    <cfRule type="cellIs" dxfId="0" priority="837" operator="equal">
      <formula>"未完成"</formula>
    </cfRule>
  </conditionalFormatting>
  <conditionalFormatting sqref="AD177">
    <cfRule type="cellIs" dxfId="0" priority="729" operator="equal">
      <formula>"未完成"</formula>
    </cfRule>
    <cfRule type="cellIs" dxfId="1" priority="711" operator="equal">
      <formula>"未完成"</formula>
    </cfRule>
  </conditionalFormatting>
  <conditionalFormatting sqref="AE177">
    <cfRule type="cellIs" dxfId="0" priority="1089" operator="equal">
      <formula>"未完成"</formula>
    </cfRule>
    <cfRule type="cellIs" dxfId="1" priority="1071" operator="equal">
      <formula>"未完成"</formula>
    </cfRule>
  </conditionalFormatting>
  <conditionalFormatting sqref="AF177">
    <cfRule type="cellIs" dxfId="0" priority="927" operator="equal">
      <formula>"未完成"</formula>
    </cfRule>
    <cfRule type="cellIs" dxfId="1" priority="909" operator="equal">
      <formula>"未完成"</formula>
    </cfRule>
  </conditionalFormatting>
  <conditionalFormatting sqref="AG177:AH177">
    <cfRule type="cellIs" dxfId="0" priority="891" operator="equal">
      <formula>"未完成"</formula>
    </cfRule>
    <cfRule type="cellIs" dxfId="1" priority="873" operator="equal">
      <formula>"未完成"</formula>
    </cfRule>
  </conditionalFormatting>
  <conditionalFormatting sqref="AI177">
    <cfRule type="cellIs" dxfId="0" priority="1053" operator="equal">
      <formula>"未完成"</formula>
    </cfRule>
    <cfRule type="cellIs" dxfId="1" priority="1035" operator="equal">
      <formula>"未完成"</formula>
    </cfRule>
  </conditionalFormatting>
  <conditionalFormatting sqref="AJ177">
    <cfRule type="cellIs" dxfId="0" priority="1017" operator="equal">
      <formula>"未完成"</formula>
    </cfRule>
    <cfRule type="cellIs" dxfId="1" priority="999" operator="equal">
      <formula>"未完成"</formula>
    </cfRule>
  </conditionalFormatting>
  <conditionalFormatting sqref="AM177">
    <cfRule type="cellIs" dxfId="0" priority="981" operator="equal">
      <formula>"未完成"</formula>
    </cfRule>
    <cfRule type="cellIs" dxfId="1" priority="963" operator="equal">
      <formula>"未完成"</formula>
    </cfRule>
  </conditionalFormatting>
  <conditionalFormatting sqref="AR177">
    <cfRule type="cellIs" dxfId="0" priority="819" operator="equal">
      <formula>"未完成"</formula>
    </cfRule>
    <cfRule type="cellIs" dxfId="1" priority="801" operator="equal">
      <formula>"未完成"</formula>
    </cfRule>
  </conditionalFormatting>
  <conditionalFormatting sqref="R178">
    <cfRule type="cellIs" dxfId="0" priority="944" operator="equal">
      <formula>"欠"</formula>
    </cfRule>
  </conditionalFormatting>
  <conditionalFormatting sqref="S178">
    <cfRule type="cellIs" dxfId="0" priority="782" operator="equal">
      <formula>"欠"</formula>
    </cfRule>
  </conditionalFormatting>
  <conditionalFormatting sqref="T178">
    <cfRule type="cellIs" dxfId="0" priority="764" operator="equal">
      <formula>"欠"</formula>
    </cfRule>
    <cfRule type="containsText" dxfId="2" priority="746" operator="between" text="欠">
      <formula>NOT(ISERROR(SEARCH("欠",T178)))</formula>
    </cfRule>
  </conditionalFormatting>
  <conditionalFormatting sqref="AC178">
    <cfRule type="cellIs" dxfId="1" priority="854" operator="equal">
      <formula>"未完成"</formula>
    </cfRule>
    <cfRule type="cellIs" dxfId="0" priority="836" operator="equal">
      <formula>"未完成"</formula>
    </cfRule>
  </conditionalFormatting>
  <conditionalFormatting sqref="AD178">
    <cfRule type="cellIs" dxfId="0" priority="728" operator="equal">
      <formula>"未完成"</formula>
    </cfRule>
    <cfRule type="cellIs" dxfId="1" priority="710" operator="equal">
      <formula>"未完成"</formula>
    </cfRule>
  </conditionalFormatting>
  <conditionalFormatting sqref="AE178">
    <cfRule type="cellIs" dxfId="0" priority="1088" operator="equal">
      <formula>"未完成"</formula>
    </cfRule>
    <cfRule type="cellIs" dxfId="1" priority="1070" operator="equal">
      <formula>"未完成"</formula>
    </cfRule>
  </conditionalFormatting>
  <conditionalFormatting sqref="AF178">
    <cfRule type="cellIs" dxfId="0" priority="926" operator="equal">
      <formula>"未完成"</formula>
    </cfRule>
    <cfRule type="cellIs" dxfId="1" priority="908" operator="equal">
      <formula>"未完成"</formula>
    </cfRule>
  </conditionalFormatting>
  <conditionalFormatting sqref="AG178:AH178">
    <cfRule type="cellIs" dxfId="0" priority="890" operator="equal">
      <formula>"未完成"</formula>
    </cfRule>
    <cfRule type="cellIs" dxfId="1" priority="872" operator="equal">
      <formula>"未完成"</formula>
    </cfRule>
  </conditionalFormatting>
  <conditionalFormatting sqref="AI178">
    <cfRule type="cellIs" dxfId="0" priority="1052" operator="equal">
      <formula>"未完成"</formula>
    </cfRule>
    <cfRule type="cellIs" dxfId="1" priority="1034" operator="equal">
      <formula>"未完成"</formula>
    </cfRule>
  </conditionalFormatting>
  <conditionalFormatting sqref="AJ178">
    <cfRule type="cellIs" dxfId="0" priority="1016" operator="equal">
      <formula>"未完成"</formula>
    </cfRule>
    <cfRule type="cellIs" dxfId="1" priority="998" operator="equal">
      <formula>"未完成"</formula>
    </cfRule>
  </conditionalFormatting>
  <conditionalFormatting sqref="AM178">
    <cfRule type="cellIs" dxfId="0" priority="980" operator="equal">
      <formula>"未完成"</formula>
    </cfRule>
    <cfRule type="cellIs" dxfId="1" priority="962" operator="equal">
      <formula>"未完成"</formula>
    </cfRule>
  </conditionalFormatting>
  <conditionalFormatting sqref="AR178">
    <cfRule type="cellIs" dxfId="0" priority="818" operator="equal">
      <formula>"未完成"</formula>
    </cfRule>
    <cfRule type="cellIs" dxfId="1" priority="800" operator="equal">
      <formula>"未完成"</formula>
    </cfRule>
  </conditionalFormatting>
  <conditionalFormatting sqref="R179">
    <cfRule type="cellIs" dxfId="0" priority="943" operator="equal">
      <formula>"欠"</formula>
    </cfRule>
  </conditionalFormatting>
  <conditionalFormatting sqref="S179">
    <cfRule type="cellIs" dxfId="0" priority="781" operator="equal">
      <formula>"欠"</formula>
    </cfRule>
  </conditionalFormatting>
  <conditionalFormatting sqref="T179">
    <cfRule type="cellIs" dxfId="0" priority="763" operator="equal">
      <formula>"欠"</formula>
    </cfRule>
    <cfRule type="containsText" dxfId="2" priority="745" operator="between" text="欠">
      <formula>NOT(ISERROR(SEARCH("欠",T179)))</formula>
    </cfRule>
  </conditionalFormatting>
  <conditionalFormatting sqref="AC179">
    <cfRule type="cellIs" dxfId="1" priority="853" operator="equal">
      <formula>"未完成"</formula>
    </cfRule>
    <cfRule type="cellIs" dxfId="0" priority="835" operator="equal">
      <formula>"未完成"</formula>
    </cfRule>
  </conditionalFormatting>
  <conditionalFormatting sqref="AD179">
    <cfRule type="cellIs" dxfId="0" priority="727" operator="equal">
      <formula>"未完成"</formula>
    </cfRule>
    <cfRule type="cellIs" dxfId="1" priority="709" operator="equal">
      <formula>"未完成"</formula>
    </cfRule>
  </conditionalFormatting>
  <conditionalFormatting sqref="AE179">
    <cfRule type="cellIs" dxfId="0" priority="1087" operator="equal">
      <formula>"未完成"</formula>
    </cfRule>
    <cfRule type="cellIs" dxfId="1" priority="1069" operator="equal">
      <formula>"未完成"</formula>
    </cfRule>
  </conditionalFormatting>
  <conditionalFormatting sqref="AF179">
    <cfRule type="cellIs" dxfId="0" priority="925" operator="equal">
      <formula>"未完成"</formula>
    </cfRule>
    <cfRule type="cellIs" dxfId="1" priority="907" operator="equal">
      <formula>"未完成"</formula>
    </cfRule>
  </conditionalFormatting>
  <conditionalFormatting sqref="AG179:AH179">
    <cfRule type="cellIs" dxfId="0" priority="889" operator="equal">
      <formula>"未完成"</formula>
    </cfRule>
    <cfRule type="cellIs" dxfId="1" priority="871" operator="equal">
      <formula>"未完成"</formula>
    </cfRule>
  </conditionalFormatting>
  <conditionalFormatting sqref="AI179">
    <cfRule type="cellIs" dxfId="0" priority="1051" operator="equal">
      <formula>"未完成"</formula>
    </cfRule>
    <cfRule type="cellIs" dxfId="1" priority="1033" operator="equal">
      <formula>"未完成"</formula>
    </cfRule>
  </conditionalFormatting>
  <conditionalFormatting sqref="AJ179">
    <cfRule type="cellIs" dxfId="0" priority="1015" operator="equal">
      <formula>"未完成"</formula>
    </cfRule>
    <cfRule type="cellIs" dxfId="1" priority="997" operator="equal">
      <formula>"未完成"</formula>
    </cfRule>
  </conditionalFormatting>
  <conditionalFormatting sqref="AM179">
    <cfRule type="cellIs" dxfId="0" priority="979" operator="equal">
      <formula>"未完成"</formula>
    </cfRule>
    <cfRule type="cellIs" dxfId="1" priority="961" operator="equal">
      <formula>"未完成"</formula>
    </cfRule>
  </conditionalFormatting>
  <conditionalFormatting sqref="AR179">
    <cfRule type="cellIs" dxfId="0" priority="817" operator="equal">
      <formula>"未完成"</formula>
    </cfRule>
    <cfRule type="cellIs" dxfId="1" priority="799" operator="equal">
      <formula>"未完成"</formula>
    </cfRule>
  </conditionalFormatting>
  <conditionalFormatting sqref="R180">
    <cfRule type="cellIs" dxfId="0" priority="942" operator="equal">
      <formula>"欠"</formula>
    </cfRule>
  </conditionalFormatting>
  <conditionalFormatting sqref="S180">
    <cfRule type="cellIs" dxfId="0" priority="780" operator="equal">
      <formula>"欠"</formula>
    </cfRule>
  </conditionalFormatting>
  <conditionalFormatting sqref="T180">
    <cfRule type="cellIs" dxfId="0" priority="762" operator="equal">
      <formula>"欠"</formula>
    </cfRule>
    <cfRule type="containsText" dxfId="2" priority="744" operator="between" text="欠">
      <formula>NOT(ISERROR(SEARCH("欠",T180)))</formula>
    </cfRule>
  </conditionalFormatting>
  <conditionalFormatting sqref="AC180">
    <cfRule type="cellIs" dxfId="1" priority="852" operator="equal">
      <formula>"未完成"</formula>
    </cfRule>
    <cfRule type="cellIs" dxfId="0" priority="834" operator="equal">
      <formula>"未完成"</formula>
    </cfRule>
  </conditionalFormatting>
  <conditionalFormatting sqref="AD180">
    <cfRule type="cellIs" dxfId="0" priority="726" operator="equal">
      <formula>"未完成"</formula>
    </cfRule>
    <cfRule type="cellIs" dxfId="1" priority="708" operator="equal">
      <formula>"未完成"</formula>
    </cfRule>
  </conditionalFormatting>
  <conditionalFormatting sqref="AE180">
    <cfRule type="cellIs" dxfId="0" priority="1086" operator="equal">
      <formula>"未完成"</formula>
    </cfRule>
    <cfRule type="cellIs" dxfId="1" priority="1068" operator="equal">
      <formula>"未完成"</formula>
    </cfRule>
  </conditionalFormatting>
  <conditionalFormatting sqref="AF180">
    <cfRule type="cellIs" dxfId="0" priority="924" operator="equal">
      <formula>"未完成"</formula>
    </cfRule>
    <cfRule type="cellIs" dxfId="1" priority="906" operator="equal">
      <formula>"未完成"</formula>
    </cfRule>
  </conditionalFormatting>
  <conditionalFormatting sqref="AG180:AH180">
    <cfRule type="cellIs" dxfId="0" priority="888" operator="equal">
      <formula>"未完成"</formula>
    </cfRule>
    <cfRule type="cellIs" dxfId="1" priority="870" operator="equal">
      <formula>"未完成"</formula>
    </cfRule>
  </conditionalFormatting>
  <conditionalFormatting sqref="AI180">
    <cfRule type="cellIs" dxfId="0" priority="1050" operator="equal">
      <formula>"未完成"</formula>
    </cfRule>
    <cfRule type="cellIs" dxfId="1" priority="1032" operator="equal">
      <formula>"未完成"</formula>
    </cfRule>
  </conditionalFormatting>
  <conditionalFormatting sqref="AJ180">
    <cfRule type="cellIs" dxfId="0" priority="1014" operator="equal">
      <formula>"未完成"</formula>
    </cfRule>
    <cfRule type="cellIs" dxfId="1" priority="996" operator="equal">
      <formula>"未完成"</formula>
    </cfRule>
  </conditionalFormatting>
  <conditionalFormatting sqref="AM180">
    <cfRule type="cellIs" dxfId="0" priority="978" operator="equal">
      <formula>"未完成"</formula>
    </cfRule>
    <cfRule type="cellIs" dxfId="1" priority="960" operator="equal">
      <formula>"未完成"</formula>
    </cfRule>
  </conditionalFormatting>
  <conditionalFormatting sqref="AR180">
    <cfRule type="cellIs" dxfId="0" priority="816" operator="equal">
      <formula>"未完成"</formula>
    </cfRule>
    <cfRule type="cellIs" dxfId="1" priority="798" operator="equal">
      <formula>"未完成"</formula>
    </cfRule>
  </conditionalFormatting>
  <conditionalFormatting sqref="R181">
    <cfRule type="cellIs" dxfId="0" priority="941" operator="equal">
      <formula>"欠"</formula>
    </cfRule>
  </conditionalFormatting>
  <conditionalFormatting sqref="S181">
    <cfRule type="cellIs" dxfId="0" priority="779" operator="equal">
      <formula>"欠"</formula>
    </cfRule>
  </conditionalFormatting>
  <conditionalFormatting sqref="T181">
    <cfRule type="cellIs" dxfId="0" priority="761" operator="equal">
      <formula>"欠"</formula>
    </cfRule>
    <cfRule type="containsText" dxfId="2" priority="743" operator="between" text="欠">
      <formula>NOT(ISERROR(SEARCH("欠",T181)))</formula>
    </cfRule>
  </conditionalFormatting>
  <conditionalFormatting sqref="AC181">
    <cfRule type="cellIs" dxfId="1" priority="851" operator="equal">
      <formula>"未完成"</formula>
    </cfRule>
    <cfRule type="cellIs" dxfId="0" priority="833" operator="equal">
      <formula>"未完成"</formula>
    </cfRule>
  </conditionalFormatting>
  <conditionalFormatting sqref="AD181">
    <cfRule type="cellIs" dxfId="0" priority="725" operator="equal">
      <formula>"未完成"</formula>
    </cfRule>
    <cfRule type="cellIs" dxfId="1" priority="707" operator="equal">
      <formula>"未完成"</formula>
    </cfRule>
  </conditionalFormatting>
  <conditionalFormatting sqref="AE181">
    <cfRule type="cellIs" dxfId="0" priority="1085" operator="equal">
      <formula>"未完成"</formula>
    </cfRule>
    <cfRule type="cellIs" dxfId="1" priority="1067" operator="equal">
      <formula>"未完成"</formula>
    </cfRule>
  </conditionalFormatting>
  <conditionalFormatting sqref="AF181">
    <cfRule type="cellIs" dxfId="0" priority="923" operator="equal">
      <formula>"未完成"</formula>
    </cfRule>
    <cfRule type="cellIs" dxfId="1" priority="905" operator="equal">
      <formula>"未完成"</formula>
    </cfRule>
  </conditionalFormatting>
  <conditionalFormatting sqref="AG181:AH181">
    <cfRule type="cellIs" dxfId="0" priority="887" operator="equal">
      <formula>"未完成"</formula>
    </cfRule>
    <cfRule type="cellIs" dxfId="1" priority="869" operator="equal">
      <formula>"未完成"</formula>
    </cfRule>
  </conditionalFormatting>
  <conditionalFormatting sqref="AI181">
    <cfRule type="cellIs" dxfId="0" priority="1049" operator="equal">
      <formula>"未完成"</formula>
    </cfRule>
    <cfRule type="cellIs" dxfId="1" priority="1031" operator="equal">
      <formula>"未完成"</formula>
    </cfRule>
  </conditionalFormatting>
  <conditionalFormatting sqref="AJ181">
    <cfRule type="cellIs" dxfId="0" priority="1013" operator="equal">
      <formula>"未完成"</formula>
    </cfRule>
    <cfRule type="cellIs" dxfId="1" priority="995" operator="equal">
      <formula>"未完成"</formula>
    </cfRule>
  </conditionalFormatting>
  <conditionalFormatting sqref="AM181">
    <cfRule type="cellIs" dxfId="0" priority="977" operator="equal">
      <formula>"未完成"</formula>
    </cfRule>
    <cfRule type="cellIs" dxfId="1" priority="959" operator="equal">
      <formula>"未完成"</formula>
    </cfRule>
  </conditionalFormatting>
  <conditionalFormatting sqref="AR181">
    <cfRule type="cellIs" dxfId="0" priority="815" operator="equal">
      <formula>"未完成"</formula>
    </cfRule>
    <cfRule type="cellIs" dxfId="1" priority="797" operator="equal">
      <formula>"未完成"</formula>
    </cfRule>
  </conditionalFormatting>
  <conditionalFormatting sqref="R182">
    <cfRule type="cellIs" dxfId="0" priority="940" operator="equal">
      <formula>"欠"</formula>
    </cfRule>
  </conditionalFormatting>
  <conditionalFormatting sqref="S182">
    <cfRule type="cellIs" dxfId="0" priority="778" operator="equal">
      <formula>"欠"</formula>
    </cfRule>
  </conditionalFormatting>
  <conditionalFormatting sqref="T182">
    <cfRule type="cellIs" dxfId="0" priority="760" operator="equal">
      <formula>"欠"</formula>
    </cfRule>
    <cfRule type="containsText" dxfId="2" priority="742" operator="between" text="欠">
      <formula>NOT(ISERROR(SEARCH("欠",T182)))</formula>
    </cfRule>
  </conditionalFormatting>
  <conditionalFormatting sqref="AC182">
    <cfRule type="cellIs" dxfId="1" priority="850" operator="equal">
      <formula>"未完成"</formula>
    </cfRule>
    <cfRule type="cellIs" dxfId="0" priority="832" operator="equal">
      <formula>"未完成"</formula>
    </cfRule>
  </conditionalFormatting>
  <conditionalFormatting sqref="AD182">
    <cfRule type="cellIs" dxfId="0" priority="724" operator="equal">
      <formula>"未完成"</formula>
    </cfRule>
    <cfRule type="cellIs" dxfId="1" priority="706" operator="equal">
      <formula>"未完成"</formula>
    </cfRule>
  </conditionalFormatting>
  <conditionalFormatting sqref="AE182">
    <cfRule type="cellIs" dxfId="0" priority="1084" operator="equal">
      <formula>"未完成"</formula>
    </cfRule>
    <cfRule type="cellIs" dxfId="1" priority="1066" operator="equal">
      <formula>"未完成"</formula>
    </cfRule>
  </conditionalFormatting>
  <conditionalFormatting sqref="AF182">
    <cfRule type="cellIs" dxfId="0" priority="922" operator="equal">
      <formula>"未完成"</formula>
    </cfRule>
    <cfRule type="cellIs" dxfId="1" priority="904" operator="equal">
      <formula>"未完成"</formula>
    </cfRule>
  </conditionalFormatting>
  <conditionalFormatting sqref="AG182:AH182">
    <cfRule type="cellIs" dxfId="0" priority="886" operator="equal">
      <formula>"未完成"</formula>
    </cfRule>
    <cfRule type="cellIs" dxfId="1" priority="868" operator="equal">
      <formula>"未完成"</formula>
    </cfRule>
  </conditionalFormatting>
  <conditionalFormatting sqref="AI182">
    <cfRule type="cellIs" dxfId="0" priority="1048" operator="equal">
      <formula>"未完成"</formula>
    </cfRule>
    <cfRule type="cellIs" dxfId="1" priority="1030" operator="equal">
      <formula>"未完成"</formula>
    </cfRule>
  </conditionalFormatting>
  <conditionalFormatting sqref="AJ182">
    <cfRule type="cellIs" dxfId="0" priority="1012" operator="equal">
      <formula>"未完成"</formula>
    </cfRule>
    <cfRule type="cellIs" dxfId="1" priority="994" operator="equal">
      <formula>"未完成"</formula>
    </cfRule>
  </conditionalFormatting>
  <conditionalFormatting sqref="AM182">
    <cfRule type="cellIs" dxfId="0" priority="976" operator="equal">
      <formula>"未完成"</formula>
    </cfRule>
    <cfRule type="cellIs" dxfId="1" priority="958" operator="equal">
      <formula>"未完成"</formula>
    </cfRule>
  </conditionalFormatting>
  <conditionalFormatting sqref="AR182">
    <cfRule type="cellIs" dxfId="0" priority="814" operator="equal">
      <formula>"未完成"</formula>
    </cfRule>
    <cfRule type="cellIs" dxfId="1" priority="796" operator="equal">
      <formula>"未完成"</formula>
    </cfRule>
  </conditionalFormatting>
  <conditionalFormatting sqref="R183">
    <cfRule type="cellIs" dxfId="0" priority="939" operator="equal">
      <formula>"欠"</formula>
    </cfRule>
  </conditionalFormatting>
  <conditionalFormatting sqref="S183">
    <cfRule type="cellIs" dxfId="0" priority="777" operator="equal">
      <formula>"欠"</formula>
    </cfRule>
  </conditionalFormatting>
  <conditionalFormatting sqref="T183">
    <cfRule type="cellIs" dxfId="0" priority="759" operator="equal">
      <formula>"欠"</formula>
    </cfRule>
    <cfRule type="containsText" dxfId="2" priority="741" operator="between" text="欠">
      <formula>NOT(ISERROR(SEARCH("欠",T183)))</formula>
    </cfRule>
  </conditionalFormatting>
  <conditionalFormatting sqref="AC183">
    <cfRule type="cellIs" dxfId="1" priority="849" operator="equal">
      <formula>"未完成"</formula>
    </cfRule>
    <cfRule type="cellIs" dxfId="0" priority="831" operator="equal">
      <formula>"未完成"</formula>
    </cfRule>
  </conditionalFormatting>
  <conditionalFormatting sqref="AD183">
    <cfRule type="cellIs" dxfId="0" priority="723" operator="equal">
      <formula>"未完成"</formula>
    </cfRule>
    <cfRule type="cellIs" dxfId="1" priority="705" operator="equal">
      <formula>"未完成"</formula>
    </cfRule>
  </conditionalFormatting>
  <conditionalFormatting sqref="AE183">
    <cfRule type="cellIs" dxfId="0" priority="1083" operator="equal">
      <formula>"未完成"</formula>
    </cfRule>
    <cfRule type="cellIs" dxfId="1" priority="1065" operator="equal">
      <formula>"未完成"</formula>
    </cfRule>
  </conditionalFormatting>
  <conditionalFormatting sqref="AF183">
    <cfRule type="cellIs" dxfId="0" priority="921" operator="equal">
      <formula>"未完成"</formula>
    </cfRule>
    <cfRule type="cellIs" dxfId="1" priority="903" operator="equal">
      <formula>"未完成"</formula>
    </cfRule>
  </conditionalFormatting>
  <conditionalFormatting sqref="AG183:AH183">
    <cfRule type="cellIs" dxfId="0" priority="885" operator="equal">
      <formula>"未完成"</formula>
    </cfRule>
    <cfRule type="cellIs" dxfId="1" priority="867" operator="equal">
      <formula>"未完成"</formula>
    </cfRule>
  </conditionalFormatting>
  <conditionalFormatting sqref="AI183">
    <cfRule type="cellIs" dxfId="0" priority="1047" operator="equal">
      <formula>"未完成"</formula>
    </cfRule>
    <cfRule type="cellIs" dxfId="1" priority="1029" operator="equal">
      <formula>"未完成"</formula>
    </cfRule>
  </conditionalFormatting>
  <conditionalFormatting sqref="AJ183">
    <cfRule type="cellIs" dxfId="0" priority="1011" operator="equal">
      <formula>"未完成"</formula>
    </cfRule>
    <cfRule type="cellIs" dxfId="1" priority="993" operator="equal">
      <formula>"未完成"</formula>
    </cfRule>
  </conditionalFormatting>
  <conditionalFormatting sqref="AM183">
    <cfRule type="cellIs" dxfId="0" priority="975" operator="equal">
      <formula>"未完成"</formula>
    </cfRule>
    <cfRule type="cellIs" dxfId="1" priority="957" operator="equal">
      <formula>"未完成"</formula>
    </cfRule>
  </conditionalFormatting>
  <conditionalFormatting sqref="AR183">
    <cfRule type="cellIs" dxfId="0" priority="813" operator="equal">
      <formula>"未完成"</formula>
    </cfRule>
    <cfRule type="cellIs" dxfId="1" priority="795" operator="equal">
      <formula>"未完成"</formula>
    </cfRule>
  </conditionalFormatting>
  <conditionalFormatting sqref="R184">
    <cfRule type="cellIs" dxfId="0" priority="688" operator="equal">
      <formula>"欠"</formula>
    </cfRule>
  </conditionalFormatting>
  <conditionalFormatting sqref="S184">
    <cfRule type="cellIs" dxfId="0" priority="670" operator="equal">
      <formula>"欠"</formula>
    </cfRule>
  </conditionalFormatting>
  <conditionalFormatting sqref="T184">
    <cfRule type="cellIs" dxfId="0" priority="668" operator="equal">
      <formula>"欠"</formula>
    </cfRule>
    <cfRule type="containsText" dxfId="2" priority="666" operator="between" text="欠">
      <formula>NOT(ISERROR(SEARCH("欠",T184)))</formula>
    </cfRule>
  </conditionalFormatting>
  <conditionalFormatting sqref="AC184">
    <cfRule type="cellIs" dxfId="1" priority="678" operator="equal">
      <formula>"未完成"</formula>
    </cfRule>
    <cfRule type="cellIs" dxfId="0" priority="676" operator="equal">
      <formula>"未完成"</formula>
    </cfRule>
  </conditionalFormatting>
  <conditionalFormatting sqref="AD184">
    <cfRule type="cellIs" dxfId="0" priority="664" operator="equal">
      <formula>"未完成"</formula>
    </cfRule>
    <cfRule type="cellIs" dxfId="1" priority="662" operator="equal">
      <formula>"未完成"</formula>
    </cfRule>
  </conditionalFormatting>
  <conditionalFormatting sqref="AE184">
    <cfRule type="cellIs" dxfId="0" priority="704" operator="equal">
      <formula>"未完成"</formula>
    </cfRule>
    <cfRule type="cellIs" dxfId="1" priority="702" operator="equal">
      <formula>"未完成"</formula>
    </cfRule>
  </conditionalFormatting>
  <conditionalFormatting sqref="AF184">
    <cfRule type="cellIs" dxfId="0" priority="686" operator="equal">
      <formula>"未完成"</formula>
    </cfRule>
    <cfRule type="cellIs" dxfId="1" priority="684" operator="equal">
      <formula>"未完成"</formula>
    </cfRule>
  </conditionalFormatting>
  <conditionalFormatting sqref="AG184:AH184">
    <cfRule type="cellIs" dxfId="0" priority="682" operator="equal">
      <formula>"未完成"</formula>
    </cfRule>
    <cfRule type="cellIs" dxfId="1" priority="680" operator="equal">
      <formula>"未完成"</formula>
    </cfRule>
  </conditionalFormatting>
  <conditionalFormatting sqref="AI184">
    <cfRule type="cellIs" dxfId="0" priority="700" operator="equal">
      <formula>"未完成"</formula>
    </cfRule>
    <cfRule type="cellIs" dxfId="1" priority="698" operator="equal">
      <formula>"未完成"</formula>
    </cfRule>
  </conditionalFormatting>
  <conditionalFormatting sqref="AJ184">
    <cfRule type="cellIs" dxfId="0" priority="696" operator="equal">
      <formula>"未完成"</formula>
    </cfRule>
    <cfRule type="cellIs" dxfId="1" priority="694" operator="equal">
      <formula>"未完成"</formula>
    </cfRule>
  </conditionalFormatting>
  <conditionalFormatting sqref="AM184">
    <cfRule type="cellIs" dxfId="0" priority="692" operator="equal">
      <formula>"未完成"</formula>
    </cfRule>
    <cfRule type="cellIs" dxfId="1" priority="690" operator="equal">
      <formula>"未完成"</formula>
    </cfRule>
  </conditionalFormatting>
  <conditionalFormatting sqref="AR184">
    <cfRule type="cellIs" dxfId="0" priority="674" operator="equal">
      <formula>"未完成"</formula>
    </cfRule>
    <cfRule type="cellIs" dxfId="1" priority="672" operator="equal">
      <formula>"未完成"</formula>
    </cfRule>
  </conditionalFormatting>
  <conditionalFormatting sqref="R185">
    <cfRule type="cellIs" dxfId="0" priority="687" operator="equal">
      <formula>"欠"</formula>
    </cfRule>
  </conditionalFormatting>
  <conditionalFormatting sqref="S185">
    <cfRule type="cellIs" dxfId="0" priority="669" operator="equal">
      <formula>"欠"</formula>
    </cfRule>
  </conditionalFormatting>
  <conditionalFormatting sqref="T185">
    <cfRule type="cellIs" dxfId="0" priority="667" operator="equal">
      <formula>"欠"</formula>
    </cfRule>
    <cfRule type="containsText" dxfId="2" priority="665" operator="between" text="欠">
      <formula>NOT(ISERROR(SEARCH("欠",T185)))</formula>
    </cfRule>
  </conditionalFormatting>
  <conditionalFormatting sqref="AC185">
    <cfRule type="cellIs" dxfId="1" priority="677" operator="equal">
      <formula>"未完成"</formula>
    </cfRule>
    <cfRule type="cellIs" dxfId="0" priority="675" operator="equal">
      <formula>"未完成"</formula>
    </cfRule>
  </conditionalFormatting>
  <conditionalFormatting sqref="AD185">
    <cfRule type="cellIs" dxfId="0" priority="656" operator="equal">
      <formula>"未完成"</formula>
    </cfRule>
    <cfRule type="cellIs" dxfId="1" priority="655" operator="equal">
      <formula>"未完成"</formula>
    </cfRule>
  </conditionalFormatting>
  <conditionalFormatting sqref="AE185">
    <cfRule type="cellIs" dxfId="0" priority="703" operator="equal">
      <formula>"未完成"</formula>
    </cfRule>
    <cfRule type="cellIs" dxfId="1" priority="701" operator="equal">
      <formula>"未完成"</formula>
    </cfRule>
  </conditionalFormatting>
  <conditionalFormatting sqref="AF185">
    <cfRule type="cellIs" dxfId="0" priority="685" operator="equal">
      <formula>"未完成"</formula>
    </cfRule>
    <cfRule type="cellIs" dxfId="1" priority="683" operator="equal">
      <formula>"未完成"</formula>
    </cfRule>
  </conditionalFormatting>
  <conditionalFormatting sqref="AG185:AH185">
    <cfRule type="cellIs" dxfId="0" priority="681" operator="equal">
      <formula>"未完成"</formula>
    </cfRule>
    <cfRule type="cellIs" dxfId="1" priority="679" operator="equal">
      <formula>"未完成"</formula>
    </cfRule>
  </conditionalFormatting>
  <conditionalFormatting sqref="AI185">
    <cfRule type="cellIs" dxfId="0" priority="699" operator="equal">
      <formula>"未完成"</formula>
    </cfRule>
    <cfRule type="cellIs" dxfId="1" priority="697" operator="equal">
      <formula>"未完成"</formula>
    </cfRule>
  </conditionalFormatting>
  <conditionalFormatting sqref="AJ185">
    <cfRule type="cellIs" dxfId="0" priority="695" operator="equal">
      <formula>"未完成"</formula>
    </cfRule>
    <cfRule type="cellIs" dxfId="1" priority="693" operator="equal">
      <formula>"未完成"</formula>
    </cfRule>
  </conditionalFormatting>
  <conditionalFormatting sqref="AM185">
    <cfRule type="cellIs" dxfId="0" priority="691" operator="equal">
      <formula>"未完成"</formula>
    </cfRule>
    <cfRule type="cellIs" dxfId="1" priority="689" operator="equal">
      <formula>"未完成"</formula>
    </cfRule>
  </conditionalFormatting>
  <conditionalFormatting sqref="AR185">
    <cfRule type="cellIs" dxfId="0" priority="673" operator="equal">
      <formula>"未完成"</formula>
    </cfRule>
    <cfRule type="cellIs" dxfId="1" priority="671" operator="equal">
      <formula>"未完成"</formula>
    </cfRule>
  </conditionalFormatting>
  <conditionalFormatting sqref="S187">
    <cfRule type="cellIs" dxfId="0" priority="1644" operator="equal">
      <formula>"欠"</formula>
    </cfRule>
  </conditionalFormatting>
  <conditionalFormatting sqref="R188">
    <cfRule type="cellIs" dxfId="0" priority="1642" operator="equal">
      <formula>"欠"</formula>
    </cfRule>
  </conditionalFormatting>
  <conditionalFormatting sqref="R189">
    <cfRule type="cellIs" dxfId="0" priority="1597" operator="equal">
      <formula>"欠"</formula>
    </cfRule>
  </conditionalFormatting>
  <conditionalFormatting sqref="T189">
    <cfRule type="cellIs" dxfId="0" priority="1598" operator="equal">
      <formula>"欠"</formula>
    </cfRule>
  </conditionalFormatting>
  <conditionalFormatting sqref="AC189">
    <cfRule type="cellIs" dxfId="0" priority="1599" operator="equal">
      <formula>"未完成"</formula>
    </cfRule>
    <cfRule type="cellIs" dxfId="1" priority="1600" operator="equal">
      <formula>"未完成"</formula>
    </cfRule>
  </conditionalFormatting>
  <conditionalFormatting sqref="AD189">
    <cfRule type="cellIs" dxfId="1" priority="1601" operator="equal">
      <formula>"未完成"</formula>
    </cfRule>
    <cfRule type="cellIs" dxfId="0" priority="1602" operator="equal">
      <formula>"未完成"</formula>
    </cfRule>
  </conditionalFormatting>
  <conditionalFormatting sqref="AF189">
    <cfRule type="cellIs" dxfId="1" priority="1605" operator="equal">
      <formula>"未完成"</formula>
    </cfRule>
    <cfRule type="cellIs" dxfId="0" priority="1606" operator="equal">
      <formula>"未完成"</formula>
    </cfRule>
  </conditionalFormatting>
  <conditionalFormatting sqref="AG189:AH189">
    <cfRule type="cellIs" dxfId="1" priority="1603" operator="equal">
      <formula>"未完成"</formula>
    </cfRule>
    <cfRule type="cellIs" dxfId="0" priority="1604" operator="equal">
      <formula>"未完成"</formula>
    </cfRule>
  </conditionalFormatting>
  <conditionalFormatting sqref="AJ189">
    <cfRule type="cellIs" dxfId="1" priority="1611" operator="equal">
      <formula>"未完成"</formula>
    </cfRule>
    <cfRule type="cellIs" dxfId="0" priority="1612" operator="equal">
      <formula>"未完成"</formula>
    </cfRule>
  </conditionalFormatting>
  <conditionalFormatting sqref="AM189">
    <cfRule type="cellIs" dxfId="1" priority="1609" operator="equal">
      <formula>"未完成"</formula>
    </cfRule>
    <cfRule type="cellIs" dxfId="0" priority="1610" operator="equal">
      <formula>"未完成"</formula>
    </cfRule>
  </conditionalFormatting>
  <conditionalFormatting sqref="AO189">
    <cfRule type="cellIs" dxfId="1" priority="1607" operator="equal">
      <formula>"未完成"</formula>
    </cfRule>
    <cfRule type="cellIs" dxfId="0" priority="1608" operator="equal">
      <formula>"未完成"</formula>
    </cfRule>
  </conditionalFormatting>
  <conditionalFormatting sqref="R190">
    <cfRule type="cellIs" dxfId="0" priority="1303" operator="equal">
      <formula>"欠"</formula>
    </cfRule>
  </conditionalFormatting>
  <conditionalFormatting sqref="T190">
    <cfRule type="cellIs" dxfId="0" priority="1304" operator="equal">
      <formula>"欠"</formula>
    </cfRule>
  </conditionalFormatting>
  <conditionalFormatting sqref="AC190">
    <cfRule type="cellIs" dxfId="0" priority="1305" operator="equal">
      <formula>"未完成"</formula>
    </cfRule>
    <cfRule type="cellIs" dxfId="1" priority="1306" operator="equal">
      <formula>"未完成"</formula>
    </cfRule>
  </conditionalFormatting>
  <conditionalFormatting sqref="AD190">
    <cfRule type="cellIs" dxfId="1" priority="1307" operator="equal">
      <formula>"未完成"</formula>
    </cfRule>
    <cfRule type="cellIs" dxfId="0" priority="1308" operator="equal">
      <formula>"未完成"</formula>
    </cfRule>
  </conditionalFormatting>
  <conditionalFormatting sqref="AF190">
    <cfRule type="cellIs" dxfId="1" priority="1311" operator="equal">
      <formula>"未完成"</formula>
    </cfRule>
    <cfRule type="cellIs" dxfId="0" priority="1312" operator="equal">
      <formula>"未完成"</formula>
    </cfRule>
  </conditionalFormatting>
  <conditionalFormatting sqref="AG190">
    <cfRule type="cellIs" dxfId="1" priority="1199" operator="equal">
      <formula>"未完成"</formula>
    </cfRule>
    <cfRule type="cellIs" dxfId="0" priority="1200" operator="equal">
      <formula>"未完成"</formula>
    </cfRule>
  </conditionalFormatting>
  <conditionalFormatting sqref="AH190">
    <cfRule type="cellIs" dxfId="1" priority="1309" operator="equal">
      <formula>"未完成"</formula>
    </cfRule>
    <cfRule type="cellIs" dxfId="0" priority="1310" operator="equal">
      <formula>"未完成"</formula>
    </cfRule>
  </conditionalFormatting>
  <conditionalFormatting sqref="AJ190">
    <cfRule type="cellIs" dxfId="1" priority="1317" operator="equal">
      <formula>"未完成"</formula>
    </cfRule>
    <cfRule type="cellIs" dxfId="0" priority="1318" operator="equal">
      <formula>"未完成"</formula>
    </cfRule>
  </conditionalFormatting>
  <conditionalFormatting sqref="AO190">
    <cfRule type="cellIs" dxfId="1" priority="1313" operator="equal">
      <formula>"未完成"</formula>
    </cfRule>
    <cfRule type="cellIs" dxfId="0" priority="1314" operator="equal">
      <formula>"未完成"</formula>
    </cfRule>
  </conditionalFormatting>
  <conditionalFormatting sqref="T191">
    <cfRule type="cellIs" dxfId="0" priority="1574" operator="equal">
      <formula>"欠"</formula>
    </cfRule>
  </conditionalFormatting>
  <conditionalFormatting sqref="AC191">
    <cfRule type="cellIs" dxfId="0" priority="1589" operator="equal">
      <formula>"未完成"</formula>
    </cfRule>
    <cfRule type="cellIs" dxfId="1" priority="1590" operator="equal">
      <formula>"未完成"</formula>
    </cfRule>
  </conditionalFormatting>
  <conditionalFormatting sqref="AD191">
    <cfRule type="cellIs" dxfId="1" priority="1591" operator="equal">
      <formula>"未完成"</formula>
    </cfRule>
    <cfRule type="cellIs" dxfId="0" priority="1592" operator="equal">
      <formula>"未完成"</formula>
    </cfRule>
  </conditionalFormatting>
  <conditionalFormatting sqref="AF191">
    <cfRule type="cellIs" dxfId="1" priority="1595" operator="equal">
      <formula>"未完成"</formula>
    </cfRule>
    <cfRule type="cellIs" dxfId="0" priority="1596" operator="equal">
      <formula>"未完成"</formula>
    </cfRule>
  </conditionalFormatting>
  <conditionalFormatting sqref="AG191">
    <cfRule type="cellIs" dxfId="1" priority="1203" operator="equal">
      <formula>"未完成"</formula>
    </cfRule>
    <cfRule type="cellIs" dxfId="0" priority="1204" operator="equal">
      <formula>"未完成"</formula>
    </cfRule>
  </conditionalFormatting>
  <conditionalFormatting sqref="AH191">
    <cfRule type="cellIs" dxfId="1" priority="1593" operator="equal">
      <formula>"未完成"</formula>
    </cfRule>
    <cfRule type="cellIs" dxfId="0" priority="1594" operator="equal">
      <formula>"未完成"</formula>
    </cfRule>
  </conditionalFormatting>
  <conditionalFormatting sqref="AI191">
    <cfRule type="cellIs" dxfId="1" priority="1585" operator="equal">
      <formula>"未完成"</formula>
    </cfRule>
    <cfRule type="cellIs" dxfId="0" priority="1586" operator="equal">
      <formula>"未完成"</formula>
    </cfRule>
  </conditionalFormatting>
  <conditionalFormatting sqref="AJ191">
    <cfRule type="cellIs" dxfId="1" priority="1583" operator="equal">
      <formula>"未完成"</formula>
    </cfRule>
    <cfRule type="cellIs" dxfId="0" priority="1584" operator="equal">
      <formula>"未完成"</formula>
    </cfRule>
  </conditionalFormatting>
  <conditionalFormatting sqref="AR191">
    <cfRule type="cellIs" dxfId="1" priority="1579" operator="equal">
      <formula>"未完成"</formula>
    </cfRule>
    <cfRule type="cellIs" dxfId="0" priority="1580" operator="equal">
      <formula>"未完成"</formula>
    </cfRule>
  </conditionalFormatting>
  <conditionalFormatting sqref="T193">
    <cfRule type="cellIs" dxfId="0" priority="1647" operator="equal">
      <formula>"欠"</formula>
    </cfRule>
  </conditionalFormatting>
  <conditionalFormatting sqref="AG193">
    <cfRule type="cellIs" dxfId="1" priority="1205" operator="equal">
      <formula>"未完成"</formula>
    </cfRule>
    <cfRule type="cellIs" dxfId="0" priority="1206" operator="equal">
      <formula>"未完成"</formula>
    </cfRule>
  </conditionalFormatting>
  <conditionalFormatting sqref="T194">
    <cfRule type="cellIs" dxfId="0" priority="1528" operator="equal">
      <formula>"欠"</formula>
    </cfRule>
  </conditionalFormatting>
  <conditionalFormatting sqref="AC194">
    <cfRule type="cellIs" dxfId="0" priority="1543" operator="equal">
      <formula>"未完成"</formula>
    </cfRule>
    <cfRule type="cellIs" dxfId="1" priority="1544" operator="equal">
      <formula>"未完成"</formula>
    </cfRule>
  </conditionalFormatting>
  <conditionalFormatting sqref="AD194">
    <cfRule type="cellIs" dxfId="0" priority="630" operator="equal">
      <formula>"未完成"</formula>
    </cfRule>
    <cfRule type="cellIs" dxfId="1" priority="629" operator="equal">
      <formula>"未完成"</formula>
    </cfRule>
  </conditionalFormatting>
  <conditionalFormatting sqref="AF194">
    <cfRule type="cellIs" dxfId="1" priority="1549" operator="equal">
      <formula>"未完成"</formula>
    </cfRule>
    <cfRule type="cellIs" dxfId="0" priority="1550" operator="equal">
      <formula>"未完成"</formula>
    </cfRule>
  </conditionalFormatting>
  <conditionalFormatting sqref="AG194">
    <cfRule type="cellIs" dxfId="1" priority="1201" operator="equal">
      <formula>"未完成"</formula>
    </cfRule>
    <cfRule type="cellIs" dxfId="0" priority="1202" operator="equal">
      <formula>"未完成"</formula>
    </cfRule>
  </conditionalFormatting>
  <conditionalFormatting sqref="AH194">
    <cfRule type="cellIs" dxfId="1" priority="1547" operator="equal">
      <formula>"未完成"</formula>
    </cfRule>
    <cfRule type="cellIs" dxfId="0" priority="1548" operator="equal">
      <formula>"未完成"</formula>
    </cfRule>
  </conditionalFormatting>
  <conditionalFormatting sqref="AJ194">
    <cfRule type="cellIs" dxfId="1" priority="1524" operator="equal">
      <formula>"未完成"</formula>
    </cfRule>
    <cfRule type="cellIs" dxfId="0" priority="1525" operator="equal">
      <formula>"未完成"</formula>
    </cfRule>
  </conditionalFormatting>
  <conditionalFormatting sqref="AR194">
    <cfRule type="cellIs" dxfId="1" priority="1522" operator="equal">
      <formula>"未完成"</formula>
    </cfRule>
    <cfRule type="cellIs" dxfId="0" priority="1523" operator="equal">
      <formula>"未完成"</formula>
    </cfRule>
  </conditionalFormatting>
  <conditionalFormatting sqref="R195">
    <cfRule type="cellIs" dxfId="0" priority="588" operator="equal">
      <formula>"欠"</formula>
    </cfRule>
  </conditionalFormatting>
  <conditionalFormatting sqref="S195">
    <cfRule type="cellIs" dxfId="0" priority="575" operator="equal">
      <formula>"欠"</formula>
    </cfRule>
  </conditionalFormatting>
  <conditionalFormatting sqref="T195">
    <cfRule type="cellIs" dxfId="0" priority="574" operator="equal">
      <formula>"欠"</formula>
    </cfRule>
  </conditionalFormatting>
  <conditionalFormatting sqref="AC195">
    <cfRule type="cellIs" dxfId="1" priority="579" operator="equal">
      <formula>"未完成"</formula>
    </cfRule>
    <cfRule type="cellIs" dxfId="0" priority="578" operator="equal">
      <formula>"未完成"</formula>
    </cfRule>
  </conditionalFormatting>
  <conditionalFormatting sqref="AD195">
    <cfRule type="cellIs" dxfId="0" priority="581" operator="equal">
      <formula>"未完成"</formula>
    </cfRule>
    <cfRule type="cellIs" dxfId="1" priority="580" operator="equal">
      <formula>"未完成"</formula>
    </cfRule>
  </conditionalFormatting>
  <conditionalFormatting sqref="AE195">
    <cfRule type="cellIs" dxfId="0" priority="594" operator="equal">
      <formula>"未完成"</formula>
    </cfRule>
    <cfRule type="cellIs" dxfId="1" priority="593" operator="equal">
      <formula>"未完成"</formula>
    </cfRule>
  </conditionalFormatting>
  <conditionalFormatting sqref="AF195">
    <cfRule type="cellIs" dxfId="0" priority="585" operator="equal">
      <formula>"未完成"</formula>
    </cfRule>
    <cfRule type="cellIs" dxfId="1" priority="584" operator="equal">
      <formula>"未完成"</formula>
    </cfRule>
  </conditionalFormatting>
  <conditionalFormatting sqref="AG195:AH195">
    <cfRule type="cellIs" dxfId="0" priority="583" operator="equal">
      <formula>"未完成"</formula>
    </cfRule>
    <cfRule type="cellIs" dxfId="1" priority="582" operator="equal">
      <formula>"未完成"</formula>
    </cfRule>
  </conditionalFormatting>
  <conditionalFormatting sqref="AI195">
    <cfRule type="cellIs" dxfId="0" priority="592" operator="equal">
      <formula>"未完成"</formula>
    </cfRule>
    <cfRule type="cellIs" dxfId="1" priority="591" operator="equal">
      <formula>"未完成"</formula>
    </cfRule>
  </conditionalFormatting>
  <conditionalFormatting sqref="AJ195">
    <cfRule type="cellIs" dxfId="0" priority="590" operator="equal">
      <formula>"未完成"</formula>
    </cfRule>
    <cfRule type="cellIs" dxfId="1" priority="589" operator="equal">
      <formula>"未完成"</formula>
    </cfRule>
  </conditionalFormatting>
  <conditionalFormatting sqref="AM195">
    <cfRule type="cellIs" dxfId="0" priority="577" operator="equal">
      <formula>"未完成"</formula>
    </cfRule>
    <cfRule type="cellIs" dxfId="1" priority="576" operator="equal">
      <formula>"未完成"</formula>
    </cfRule>
  </conditionalFormatting>
  <conditionalFormatting sqref="AO195">
    <cfRule type="cellIs" dxfId="0" priority="587" operator="equal">
      <formula>"未完成"</formula>
    </cfRule>
    <cfRule type="cellIs" dxfId="1" priority="586" operator="equal">
      <formula>"未完成"</formula>
    </cfRule>
  </conditionalFormatting>
  <conditionalFormatting sqref="T196">
    <cfRule type="cellIs" dxfId="0" priority="1330" operator="equal">
      <formula>"欠"</formula>
    </cfRule>
  </conditionalFormatting>
  <conditionalFormatting sqref="AC196">
    <cfRule type="cellIs" dxfId="0" priority="1335" operator="equal">
      <formula>"未完成"</formula>
    </cfRule>
    <cfRule type="cellIs" dxfId="1" priority="1336" operator="equal">
      <formula>"未完成"</formula>
    </cfRule>
  </conditionalFormatting>
  <conditionalFormatting sqref="AD196">
    <cfRule type="cellIs" dxfId="1" priority="1337" operator="equal">
      <formula>"未完成"</formula>
    </cfRule>
    <cfRule type="cellIs" dxfId="0" priority="1338" operator="equal">
      <formula>"未完成"</formula>
    </cfRule>
  </conditionalFormatting>
  <conditionalFormatting sqref="AF196">
    <cfRule type="cellIs" dxfId="1" priority="1341" operator="equal">
      <formula>"未完成"</formula>
    </cfRule>
    <cfRule type="cellIs" dxfId="0" priority="1342" operator="equal">
      <formula>"未完成"</formula>
    </cfRule>
  </conditionalFormatting>
  <conditionalFormatting sqref="AG196">
    <cfRule type="cellIs" dxfId="1" priority="1331" operator="equal">
      <formula>"未完成"</formula>
    </cfRule>
    <cfRule type="cellIs" dxfId="0" priority="1332" operator="equal">
      <formula>"未完成"</formula>
    </cfRule>
  </conditionalFormatting>
  <conditionalFormatting sqref="AH196">
    <cfRule type="cellIs" dxfId="1" priority="1339" operator="equal">
      <formula>"未完成"</formula>
    </cfRule>
    <cfRule type="cellIs" dxfId="0" priority="1340" operator="equal">
      <formula>"未完成"</formula>
    </cfRule>
  </conditionalFormatting>
  <conditionalFormatting sqref="AI196">
    <cfRule type="cellIs" dxfId="1" priority="1333" operator="equal">
      <formula>"未完成"</formula>
    </cfRule>
    <cfRule type="cellIs" dxfId="0" priority="1334" operator="equal">
      <formula>"未完成"</formula>
    </cfRule>
  </conditionalFormatting>
  <conditionalFormatting sqref="AJ196">
    <cfRule type="cellIs" dxfId="1" priority="1326" operator="equal">
      <formula>"未完成"</formula>
    </cfRule>
    <cfRule type="cellIs" dxfId="0" priority="1327" operator="equal">
      <formula>"未完成"</formula>
    </cfRule>
  </conditionalFormatting>
  <conditionalFormatting sqref="AR196">
    <cfRule type="cellIs" dxfId="1" priority="1324" operator="equal">
      <formula>"未完成"</formula>
    </cfRule>
    <cfRule type="cellIs" dxfId="0" priority="1325" operator="equal">
      <formula>"未完成"</formula>
    </cfRule>
  </conditionalFormatting>
  <conditionalFormatting sqref="R197">
    <cfRule type="cellIs" dxfId="0" priority="1238" operator="equal">
      <formula>"欠"</formula>
    </cfRule>
  </conditionalFormatting>
  <conditionalFormatting sqref="T197">
    <cfRule type="containsText" dxfId="2" priority="1263" operator="between" text="欠">
      <formula>NOT(ISERROR(SEARCH("欠",T197)))</formula>
    </cfRule>
    <cfRule type="cellIs" dxfId="0" priority="1264" operator="equal">
      <formula>"欠"</formula>
    </cfRule>
  </conditionalFormatting>
  <conditionalFormatting sqref="AC197">
    <cfRule type="cellIs" dxfId="0" priority="1277" operator="equal">
      <formula>"未完成"</formula>
    </cfRule>
    <cfRule type="cellIs" dxfId="1" priority="1278" operator="equal">
      <formula>"未完成"</formula>
    </cfRule>
  </conditionalFormatting>
  <conditionalFormatting sqref="AD197">
    <cfRule type="cellIs" dxfId="1" priority="1279" operator="equal">
      <formula>"未完成"</formula>
    </cfRule>
    <cfRule type="cellIs" dxfId="0" priority="1280" operator="equal">
      <formula>"未完成"</formula>
    </cfRule>
  </conditionalFormatting>
  <conditionalFormatting sqref="AF197">
    <cfRule type="cellIs" dxfId="1" priority="1283" operator="equal">
      <formula>"未完成"</formula>
    </cfRule>
    <cfRule type="cellIs" dxfId="0" priority="1284" operator="equal">
      <formula>"未完成"</formula>
    </cfRule>
  </conditionalFormatting>
  <conditionalFormatting sqref="AG197:AH197">
    <cfRule type="cellIs" dxfId="1" priority="1281" operator="equal">
      <formula>"未完成"</formula>
    </cfRule>
    <cfRule type="cellIs" dxfId="0" priority="1282" operator="equal">
      <formula>"未完成"</formula>
    </cfRule>
  </conditionalFormatting>
  <conditionalFormatting sqref="AI197">
    <cfRule type="cellIs" dxfId="1" priority="1273" operator="equal">
      <formula>"未完成"</formula>
    </cfRule>
    <cfRule type="cellIs" dxfId="0" priority="1274" operator="equal">
      <formula>"未完成"</formula>
    </cfRule>
  </conditionalFormatting>
  <conditionalFormatting sqref="AJ197">
    <cfRule type="cellIs" dxfId="1" priority="1271" operator="equal">
      <formula>"未完成"</formula>
    </cfRule>
    <cfRule type="cellIs" dxfId="0" priority="1272" operator="equal">
      <formula>"未完成"</formula>
    </cfRule>
  </conditionalFormatting>
  <conditionalFormatting sqref="AR197">
    <cfRule type="cellIs" dxfId="1" priority="1266" operator="equal">
      <formula>"未完成"</formula>
    </cfRule>
    <cfRule type="cellIs" dxfId="0" priority="1267" operator="equal">
      <formula>"未完成"</formula>
    </cfRule>
  </conditionalFormatting>
  <conditionalFormatting sqref="AC198">
    <cfRule type="cellIs" dxfId="0" priority="1424" operator="equal">
      <formula>"未完成"</formula>
    </cfRule>
    <cfRule type="cellIs" dxfId="1" priority="1430" operator="equal">
      <formula>"未完成"</formula>
    </cfRule>
  </conditionalFormatting>
  <conditionalFormatting sqref="AD198">
    <cfRule type="cellIs" dxfId="1" priority="1436" operator="equal">
      <formula>"未完成"</formula>
    </cfRule>
    <cfRule type="cellIs" dxfId="0" priority="1442" operator="equal">
      <formula>"未完成"</formula>
    </cfRule>
  </conditionalFormatting>
  <conditionalFormatting sqref="AF198">
    <cfRule type="cellIs" dxfId="1" priority="1460" operator="equal">
      <formula>"未完成"</formula>
    </cfRule>
    <cfRule type="cellIs" dxfId="0" priority="1466" operator="equal">
      <formula>"未完成"</formula>
    </cfRule>
  </conditionalFormatting>
  <conditionalFormatting sqref="AG198:AH198">
    <cfRule type="cellIs" dxfId="1" priority="1448" operator="equal">
      <formula>"未完成"</formula>
    </cfRule>
    <cfRule type="cellIs" dxfId="0" priority="1454" operator="equal">
      <formula>"未完成"</formula>
    </cfRule>
  </conditionalFormatting>
  <conditionalFormatting sqref="AI198">
    <cfRule type="cellIs" dxfId="1" priority="1496" operator="equal">
      <formula>"未完成"</formula>
    </cfRule>
    <cfRule type="cellIs" dxfId="0" priority="1502" operator="equal">
      <formula>"未完成"</formula>
    </cfRule>
  </conditionalFormatting>
  <conditionalFormatting sqref="AR198">
    <cfRule type="cellIs" dxfId="1" priority="1394" operator="equal">
      <formula>"未完成"</formula>
    </cfRule>
    <cfRule type="cellIs" dxfId="0" priority="1400" operator="equal">
      <formula>"未完成"</formula>
    </cfRule>
  </conditionalFormatting>
  <conditionalFormatting sqref="AC199">
    <cfRule type="cellIs" dxfId="0" priority="1423" operator="equal">
      <formula>"未完成"</formula>
    </cfRule>
    <cfRule type="cellIs" dxfId="1" priority="1429" operator="equal">
      <formula>"未完成"</formula>
    </cfRule>
  </conditionalFormatting>
  <conditionalFormatting sqref="AD199">
    <cfRule type="cellIs" dxfId="1" priority="1435" operator="equal">
      <formula>"未完成"</formula>
    </cfRule>
    <cfRule type="cellIs" dxfId="0" priority="1441" operator="equal">
      <formula>"未完成"</formula>
    </cfRule>
  </conditionalFormatting>
  <conditionalFormatting sqref="AF199">
    <cfRule type="cellIs" dxfId="1" priority="1459" operator="equal">
      <formula>"未完成"</formula>
    </cfRule>
    <cfRule type="cellIs" dxfId="0" priority="1465" operator="equal">
      <formula>"未完成"</formula>
    </cfRule>
  </conditionalFormatting>
  <conditionalFormatting sqref="AG199">
    <cfRule type="cellIs" dxfId="1" priority="1297" operator="equal">
      <formula>"未完成"</formula>
    </cfRule>
    <cfRule type="cellIs" dxfId="0" priority="1298" operator="equal">
      <formula>"未完成"</formula>
    </cfRule>
  </conditionalFormatting>
  <conditionalFormatting sqref="AH199">
    <cfRule type="cellIs" dxfId="1" priority="1447" operator="equal">
      <formula>"未完成"</formula>
    </cfRule>
    <cfRule type="cellIs" dxfId="0" priority="1453" operator="equal">
      <formula>"未完成"</formula>
    </cfRule>
  </conditionalFormatting>
  <conditionalFormatting sqref="AI199">
    <cfRule type="cellIs" dxfId="1" priority="1495" operator="equal">
      <formula>"未完成"</formula>
    </cfRule>
    <cfRule type="cellIs" dxfId="0" priority="1501" operator="equal">
      <formula>"未完成"</formula>
    </cfRule>
  </conditionalFormatting>
  <conditionalFormatting sqref="AR199">
    <cfRule type="cellIs" dxfId="1" priority="1393" operator="equal">
      <formula>"未完成"</formula>
    </cfRule>
    <cfRule type="cellIs" dxfId="0" priority="1399" operator="equal">
      <formula>"未完成"</formula>
    </cfRule>
  </conditionalFormatting>
  <conditionalFormatting sqref="AC200">
    <cfRule type="cellIs" dxfId="0" priority="1422" operator="equal">
      <formula>"未完成"</formula>
    </cfRule>
    <cfRule type="cellIs" dxfId="1" priority="1428" operator="equal">
      <formula>"未完成"</formula>
    </cfRule>
  </conditionalFormatting>
  <conditionalFormatting sqref="AD200">
    <cfRule type="cellIs" dxfId="0" priority="429" operator="equal">
      <formula>"未完成"</formula>
    </cfRule>
    <cfRule type="cellIs" dxfId="1" priority="428" operator="equal">
      <formula>"未完成"</formula>
    </cfRule>
  </conditionalFormatting>
  <conditionalFormatting sqref="AF200">
    <cfRule type="cellIs" dxfId="1" priority="1458" operator="equal">
      <formula>"未完成"</formula>
    </cfRule>
    <cfRule type="cellIs" dxfId="0" priority="1464" operator="equal">
      <formula>"未完成"</formula>
    </cfRule>
  </conditionalFormatting>
  <conditionalFormatting sqref="AG200">
    <cfRule type="cellIs" dxfId="1" priority="1295" operator="equal">
      <formula>"未完成"</formula>
    </cfRule>
    <cfRule type="cellIs" dxfId="0" priority="1296" operator="equal">
      <formula>"未完成"</formula>
    </cfRule>
  </conditionalFormatting>
  <conditionalFormatting sqref="AH200">
    <cfRule type="cellIs" dxfId="1" priority="1446" operator="equal">
      <formula>"未完成"</formula>
    </cfRule>
    <cfRule type="cellIs" dxfId="0" priority="1452" operator="equal">
      <formula>"未完成"</formula>
    </cfRule>
  </conditionalFormatting>
  <conditionalFormatting sqref="AI200">
    <cfRule type="cellIs" dxfId="1" priority="1494" operator="equal">
      <formula>"未完成"</formula>
    </cfRule>
    <cfRule type="cellIs" dxfId="0" priority="1500" operator="equal">
      <formula>"未完成"</formula>
    </cfRule>
  </conditionalFormatting>
  <conditionalFormatting sqref="AR200">
    <cfRule type="cellIs" dxfId="1" priority="1392" operator="equal">
      <formula>"未完成"</formula>
    </cfRule>
    <cfRule type="cellIs" dxfId="0" priority="1398" operator="equal">
      <formula>"未完成"</formula>
    </cfRule>
  </conditionalFormatting>
  <conditionalFormatting sqref="AC201">
    <cfRule type="cellIs" dxfId="0" priority="1421" operator="equal">
      <formula>"未完成"</formula>
    </cfRule>
    <cfRule type="cellIs" dxfId="1" priority="1427" operator="equal">
      <formula>"未完成"</formula>
    </cfRule>
  </conditionalFormatting>
  <conditionalFormatting sqref="AD201">
    <cfRule type="cellIs" dxfId="0" priority="571" operator="equal">
      <formula>"未完成"</formula>
    </cfRule>
    <cfRule type="cellIs" dxfId="1" priority="570" operator="equal">
      <formula>"未完成"</formula>
    </cfRule>
  </conditionalFormatting>
  <conditionalFormatting sqref="AF201">
    <cfRule type="cellIs" dxfId="1" priority="1457" operator="equal">
      <formula>"未完成"</formula>
    </cfRule>
    <cfRule type="cellIs" dxfId="0" priority="1463" operator="equal">
      <formula>"未完成"</formula>
    </cfRule>
  </conditionalFormatting>
  <conditionalFormatting sqref="AG201">
    <cfRule type="cellIs" dxfId="1" priority="1291" operator="equal">
      <formula>"未完成"</formula>
    </cfRule>
    <cfRule type="cellIs" dxfId="0" priority="1292" operator="equal">
      <formula>"未完成"</formula>
    </cfRule>
  </conditionalFormatting>
  <conditionalFormatting sqref="AH201">
    <cfRule type="cellIs" dxfId="1" priority="1445" operator="equal">
      <formula>"未完成"</formula>
    </cfRule>
    <cfRule type="cellIs" dxfId="0" priority="1451" operator="equal">
      <formula>"未完成"</formula>
    </cfRule>
  </conditionalFormatting>
  <conditionalFormatting sqref="AI201">
    <cfRule type="cellIs" dxfId="1" priority="1493" operator="equal">
      <formula>"未完成"</formula>
    </cfRule>
    <cfRule type="cellIs" dxfId="0" priority="1499" operator="equal">
      <formula>"未完成"</formula>
    </cfRule>
  </conditionalFormatting>
  <conditionalFormatting sqref="AR201">
    <cfRule type="cellIs" dxfId="1" priority="1391" operator="equal">
      <formula>"未完成"</formula>
    </cfRule>
    <cfRule type="cellIs" dxfId="0" priority="1397" operator="equal">
      <formula>"未完成"</formula>
    </cfRule>
  </conditionalFormatting>
  <conditionalFormatting sqref="AC202">
    <cfRule type="cellIs" dxfId="0" priority="1420" operator="equal">
      <formula>"未完成"</formula>
    </cfRule>
    <cfRule type="cellIs" dxfId="1" priority="1426" operator="equal">
      <formula>"未完成"</formula>
    </cfRule>
  </conditionalFormatting>
  <conditionalFormatting sqref="AD202">
    <cfRule type="cellIs" dxfId="0" priority="573" operator="equal">
      <formula>"未完成"</formula>
    </cfRule>
    <cfRule type="cellIs" dxfId="1" priority="572" operator="equal">
      <formula>"未完成"</formula>
    </cfRule>
  </conditionalFormatting>
  <conditionalFormatting sqref="AF202">
    <cfRule type="cellIs" dxfId="1" priority="1456" operator="equal">
      <formula>"未完成"</formula>
    </cfRule>
    <cfRule type="cellIs" dxfId="0" priority="1462" operator="equal">
      <formula>"未完成"</formula>
    </cfRule>
  </conditionalFormatting>
  <conditionalFormatting sqref="AG202">
    <cfRule type="cellIs" dxfId="1" priority="1293" operator="equal">
      <formula>"未完成"</formula>
    </cfRule>
    <cfRule type="cellIs" dxfId="0" priority="1294" operator="equal">
      <formula>"未完成"</formula>
    </cfRule>
  </conditionalFormatting>
  <conditionalFormatting sqref="AH202">
    <cfRule type="cellIs" dxfId="1" priority="1444" operator="equal">
      <formula>"未完成"</formula>
    </cfRule>
    <cfRule type="cellIs" dxfId="0" priority="1450" operator="equal">
      <formula>"未完成"</formula>
    </cfRule>
  </conditionalFormatting>
  <conditionalFormatting sqref="AI202">
    <cfRule type="cellIs" dxfId="1" priority="1492" operator="equal">
      <formula>"未完成"</formula>
    </cfRule>
    <cfRule type="cellIs" dxfId="0" priority="1498" operator="equal">
      <formula>"未完成"</formula>
    </cfRule>
  </conditionalFormatting>
  <conditionalFormatting sqref="AR202">
    <cfRule type="cellIs" dxfId="1" priority="1390" operator="equal">
      <formula>"未完成"</formula>
    </cfRule>
    <cfRule type="cellIs" dxfId="0" priority="1396" operator="equal">
      <formula>"未完成"</formula>
    </cfRule>
  </conditionalFormatting>
  <conditionalFormatting sqref="AC203">
    <cfRule type="cellIs" dxfId="0" priority="1419" operator="equal">
      <formula>"未完成"</formula>
    </cfRule>
    <cfRule type="cellIs" dxfId="1" priority="1425" operator="equal">
      <formula>"未完成"</formula>
    </cfRule>
  </conditionalFormatting>
  <conditionalFormatting sqref="AD203">
    <cfRule type="cellIs" dxfId="0" priority="427" operator="equal">
      <formula>"未完成"</formula>
    </cfRule>
    <cfRule type="cellIs" dxfId="1" priority="426" operator="equal">
      <formula>"未完成"</formula>
    </cfRule>
  </conditionalFormatting>
  <conditionalFormatting sqref="AF203">
    <cfRule type="cellIs" dxfId="1" priority="1455" operator="equal">
      <formula>"未完成"</formula>
    </cfRule>
    <cfRule type="cellIs" dxfId="0" priority="1461" operator="equal">
      <formula>"未完成"</formula>
    </cfRule>
  </conditionalFormatting>
  <conditionalFormatting sqref="AG203">
    <cfRule type="cellIs" dxfId="1" priority="1289" operator="equal">
      <formula>"未完成"</formula>
    </cfRule>
    <cfRule type="cellIs" dxfId="0" priority="1290" operator="equal">
      <formula>"未完成"</formula>
    </cfRule>
  </conditionalFormatting>
  <conditionalFormatting sqref="AH203">
    <cfRule type="cellIs" dxfId="1" priority="1443" operator="equal">
      <formula>"未完成"</formula>
    </cfRule>
    <cfRule type="cellIs" dxfId="0" priority="1449" operator="equal">
      <formula>"未完成"</formula>
    </cfRule>
  </conditionalFormatting>
  <conditionalFormatting sqref="AR203">
    <cfRule type="cellIs" dxfId="1" priority="1389" operator="equal">
      <formula>"未完成"</formula>
    </cfRule>
    <cfRule type="cellIs" dxfId="0" priority="1395" operator="equal">
      <formula>"未完成"</formula>
    </cfRule>
  </conditionalFormatting>
  <conditionalFormatting sqref="R204">
    <cfRule type="cellIs" dxfId="0" priority="1623" operator="equal">
      <formula>"欠"</formula>
    </cfRule>
  </conditionalFormatting>
  <conditionalFormatting sqref="S204">
    <cfRule type="cellIs" dxfId="0" priority="1618" operator="equal">
      <formula>"欠"</formula>
    </cfRule>
  </conditionalFormatting>
  <conditionalFormatting sqref="T204">
    <cfRule type="containsText" dxfId="2" priority="1619" operator="between" text="欠">
      <formula>NOT(ISERROR(SEARCH("欠",T204)))</formula>
    </cfRule>
    <cfRule type="cellIs" dxfId="0" priority="1620" operator="equal">
      <formula>"欠"</formula>
    </cfRule>
  </conditionalFormatting>
  <conditionalFormatting sqref="AJ204">
    <cfRule type="cellIs" dxfId="1" priority="1628" operator="equal">
      <formula>"未完成"</formula>
    </cfRule>
    <cfRule type="cellIs" dxfId="0" priority="1629" operator="equal">
      <formula>"未完成"</formula>
    </cfRule>
  </conditionalFormatting>
  <conditionalFormatting sqref="AC205">
    <cfRule type="cellIs" dxfId="0" priority="1355" operator="equal">
      <formula>"未完成"</formula>
    </cfRule>
    <cfRule type="cellIs" dxfId="1" priority="1356" operator="equal">
      <formula>"未完成"</formula>
    </cfRule>
  </conditionalFormatting>
  <conditionalFormatting sqref="AD205">
    <cfRule type="cellIs" dxfId="0" priority="425" operator="equal">
      <formula>"未完成"</formula>
    </cfRule>
    <cfRule type="cellIs" dxfId="1" priority="424" operator="equal">
      <formula>"未完成"</formula>
    </cfRule>
  </conditionalFormatting>
  <conditionalFormatting sqref="AF205">
    <cfRule type="cellIs" dxfId="1" priority="1361" operator="equal">
      <formula>"未完成"</formula>
    </cfRule>
    <cfRule type="cellIs" dxfId="0" priority="1362" operator="equal">
      <formula>"未完成"</formula>
    </cfRule>
  </conditionalFormatting>
  <conditionalFormatting sqref="AG205">
    <cfRule type="cellIs" dxfId="1" priority="1287" operator="equal">
      <formula>"未完成"</formula>
    </cfRule>
    <cfRule type="cellIs" dxfId="0" priority="1288" operator="equal">
      <formula>"未完成"</formula>
    </cfRule>
  </conditionalFormatting>
  <conditionalFormatting sqref="AH205">
    <cfRule type="cellIs" dxfId="1" priority="1359" operator="equal">
      <formula>"未完成"</formula>
    </cfRule>
    <cfRule type="cellIs" dxfId="0" priority="1360" operator="equal">
      <formula>"未完成"</formula>
    </cfRule>
  </conditionalFormatting>
  <conditionalFormatting sqref="AR205">
    <cfRule type="cellIs" dxfId="1" priority="1350" operator="equal">
      <formula>"未完成"</formula>
    </cfRule>
    <cfRule type="cellIs" dxfId="0" priority="1351" operator="equal">
      <formula>"未完成"</formula>
    </cfRule>
  </conditionalFormatting>
  <conditionalFormatting sqref="AD206">
    <cfRule type="cellIs" dxfId="0" priority="423" operator="equal">
      <formula>"未完成"</formula>
    </cfRule>
    <cfRule type="cellIs" dxfId="1" priority="422" operator="equal">
      <formula>"未完成"</formula>
    </cfRule>
  </conditionalFormatting>
  <conditionalFormatting sqref="AG206">
    <cfRule type="cellIs" dxfId="1" priority="1285" operator="equal">
      <formula>"未完成"</formula>
    </cfRule>
    <cfRule type="cellIs" dxfId="0" priority="1286" operator="equal">
      <formula>"未完成"</formula>
    </cfRule>
  </conditionalFormatting>
  <conditionalFormatting sqref="S207">
    <cfRule type="cellIs" dxfId="0" priority="1665" operator="equal">
      <formula>"欠"</formula>
    </cfRule>
  </conditionalFormatting>
  <conditionalFormatting sqref="T207">
    <cfRule type="containsText" dxfId="2" priority="1664" operator="between" text="欠">
      <formula>NOT(ISERROR(SEARCH("欠",T207)))</formula>
    </cfRule>
    <cfRule type="cellIs" dxfId="0" priority="1666" operator="equal">
      <formula>"欠"</formula>
    </cfRule>
  </conditionalFormatting>
  <conditionalFormatting sqref="R208">
    <cfRule type="cellIs" dxfId="0" priority="1905" operator="equal">
      <formula>"欠"</formula>
    </cfRule>
  </conditionalFormatting>
  <conditionalFormatting sqref="T208">
    <cfRule type="containsText" dxfId="2" priority="1962" operator="between" text="欠">
      <formula>NOT(ISERROR(SEARCH("欠",T208)))</formula>
    </cfRule>
    <cfRule type="cellIs" dxfId="0" priority="1963" operator="equal">
      <formula>"欠"</formula>
    </cfRule>
  </conditionalFormatting>
  <conditionalFormatting sqref="AC208">
    <cfRule type="cellIs" dxfId="0" priority="1964" operator="equal">
      <formula>"未完成"</formula>
    </cfRule>
    <cfRule type="cellIs" dxfId="1" priority="1965" operator="equal">
      <formula>"未完成"</formula>
    </cfRule>
  </conditionalFormatting>
  <conditionalFormatting sqref="AD208">
    <cfRule type="cellIs" dxfId="1" priority="1966" operator="equal">
      <formula>"未完成"</formula>
    </cfRule>
    <cfRule type="cellIs" dxfId="0" priority="1967" operator="equal">
      <formula>"未完成"</formula>
    </cfRule>
  </conditionalFormatting>
  <conditionalFormatting sqref="AF208">
    <cfRule type="cellIs" dxfId="1" priority="1970" operator="equal">
      <formula>"未完成"</formula>
    </cfRule>
    <cfRule type="cellIs" dxfId="0" priority="1971" operator="equal">
      <formula>"未完成"</formula>
    </cfRule>
  </conditionalFormatting>
  <conditionalFormatting sqref="AG208">
    <cfRule type="cellIs" dxfId="1" priority="1958" operator="equal">
      <formula>"未完成"</formula>
    </cfRule>
    <cfRule type="cellIs" dxfId="0" priority="1959" operator="equal">
      <formula>"未完成"</formula>
    </cfRule>
  </conditionalFormatting>
  <conditionalFormatting sqref="AH208">
    <cfRule type="cellIs" dxfId="1" priority="1968" operator="equal">
      <formula>"未完成"</formula>
    </cfRule>
    <cfRule type="cellIs" dxfId="0" priority="1969" operator="equal">
      <formula>"未完成"</formula>
    </cfRule>
  </conditionalFormatting>
  <conditionalFormatting sqref="AO208">
    <cfRule type="cellIs" dxfId="1" priority="1960" operator="equal">
      <formula>"未完成"</formula>
    </cfRule>
    <cfRule type="cellIs" dxfId="0" priority="1961" operator="equal">
      <formula>"未完成"</formula>
    </cfRule>
  </conditionalFormatting>
  <conditionalFormatting sqref="R213">
    <cfRule type="cellIs" dxfId="0" priority="636" operator="equal">
      <formula>"欠"</formula>
    </cfRule>
  </conditionalFormatting>
  <conditionalFormatting sqref="S213">
    <cfRule type="cellIs" dxfId="0" priority="631" operator="equal">
      <formula>"欠"</formula>
    </cfRule>
  </conditionalFormatting>
  <conditionalFormatting sqref="AC213">
    <cfRule type="cellIs" dxfId="1" priority="642" operator="equal">
      <formula>"未完成"</formula>
    </cfRule>
    <cfRule type="cellIs" dxfId="0" priority="641" operator="equal">
      <formula>"未完成"</formula>
    </cfRule>
  </conditionalFormatting>
  <conditionalFormatting sqref="AD213">
    <cfRule type="cellIs" dxfId="0" priority="644" operator="equal">
      <formula>"未完成"</formula>
    </cfRule>
    <cfRule type="cellIs" dxfId="1" priority="643" operator="equal">
      <formula>"未完成"</formula>
    </cfRule>
  </conditionalFormatting>
  <conditionalFormatting sqref="AF213">
    <cfRule type="cellIs" dxfId="0" priority="648" operator="equal">
      <formula>"未完成"</formula>
    </cfRule>
    <cfRule type="cellIs" dxfId="1" priority="647" operator="equal">
      <formula>"未完成"</formula>
    </cfRule>
  </conditionalFormatting>
  <conditionalFormatting sqref="AG213:AH213">
    <cfRule type="cellIs" dxfId="0" priority="646" operator="equal">
      <formula>"未完成"</formula>
    </cfRule>
    <cfRule type="cellIs" dxfId="1" priority="645" operator="equal">
      <formula>"未完成"</formula>
    </cfRule>
  </conditionalFormatting>
  <conditionalFormatting sqref="AI213">
    <cfRule type="cellIs" dxfId="0" priority="640" operator="equal">
      <formula>"未完成"</formula>
    </cfRule>
    <cfRule type="cellIs" dxfId="1" priority="639" operator="equal">
      <formula>"未完成"</formula>
    </cfRule>
  </conditionalFormatting>
  <conditionalFormatting sqref="AK213">
    <cfRule type="cellIs" dxfId="0" priority="652" operator="equal">
      <formula>"未完成"</formula>
    </cfRule>
    <cfRule type="cellIs" dxfId="1" priority="651" operator="equal">
      <formula>"未完成"</formula>
    </cfRule>
  </conditionalFormatting>
  <conditionalFormatting sqref="AR213">
    <cfRule type="cellIs" dxfId="0" priority="635" operator="equal">
      <formula>"未完成"</formula>
    </cfRule>
    <cfRule type="cellIs" dxfId="1" priority="634" operator="equal">
      <formula>"未完成"</formula>
    </cfRule>
  </conditionalFormatting>
  <conditionalFormatting sqref="AC214">
    <cfRule type="cellIs" dxfId="0" priority="1159" operator="equal">
      <formula>"未完成"</formula>
    </cfRule>
    <cfRule type="cellIs" dxfId="1" priority="1162" operator="equal">
      <formula>"未完成"</formula>
    </cfRule>
  </conditionalFormatting>
  <conditionalFormatting sqref="AD214">
    <cfRule type="cellIs" dxfId="1" priority="1165" operator="equal">
      <formula>"未完成"</formula>
    </cfRule>
    <cfRule type="cellIs" dxfId="0" priority="1168" operator="equal">
      <formula>"未完成"</formula>
    </cfRule>
  </conditionalFormatting>
  <conditionalFormatting sqref="AF214">
    <cfRule type="cellIs" dxfId="1" priority="1177" operator="equal">
      <formula>"未完成"</formula>
    </cfRule>
    <cfRule type="cellIs" dxfId="0" priority="1180" operator="equal">
      <formula>"未完成"</formula>
    </cfRule>
  </conditionalFormatting>
  <conditionalFormatting sqref="AG214">
    <cfRule type="cellIs" dxfId="0" priority="604" operator="equal">
      <formula>"未完成"</formula>
    </cfRule>
    <cfRule type="cellIs" dxfId="1" priority="603" operator="equal">
      <formula>"未完成"</formula>
    </cfRule>
  </conditionalFormatting>
  <conditionalFormatting sqref="AH214">
    <cfRule type="cellIs" dxfId="1" priority="1171" operator="equal">
      <formula>"未完成"</formula>
    </cfRule>
    <cfRule type="cellIs" dxfId="0" priority="1174" operator="equal">
      <formula>"未完成"</formula>
    </cfRule>
  </conditionalFormatting>
  <conditionalFormatting sqref="AI214">
    <cfRule type="cellIs" dxfId="1" priority="1153" operator="equal">
      <formula>"未完成"</formula>
    </cfRule>
    <cfRule type="cellIs" dxfId="0" priority="1156" operator="equal">
      <formula>"未完成"</formula>
    </cfRule>
  </conditionalFormatting>
  <conditionalFormatting sqref="AJ214">
    <cfRule type="cellIs" dxfId="1" priority="1147" operator="equal">
      <formula>"未完成"</formula>
    </cfRule>
    <cfRule type="cellIs" dxfId="0" priority="1150" operator="equal">
      <formula>"未完成"</formula>
    </cfRule>
  </conditionalFormatting>
  <conditionalFormatting sqref="AR214">
    <cfRule type="cellIs" dxfId="1" priority="1138" operator="equal">
      <formula>"未完成"</formula>
    </cfRule>
    <cfRule type="cellIs" dxfId="0" priority="1141" operator="equal">
      <formula>"未完成"</formula>
    </cfRule>
  </conditionalFormatting>
  <conditionalFormatting sqref="AC215">
    <cfRule type="cellIs" dxfId="0" priority="1158" operator="equal">
      <formula>"未完成"</formula>
    </cfRule>
    <cfRule type="cellIs" dxfId="1" priority="1161" operator="equal">
      <formula>"未完成"</formula>
    </cfRule>
  </conditionalFormatting>
  <conditionalFormatting sqref="AD215">
    <cfRule type="cellIs" dxfId="0" priority="158" operator="equal">
      <formula>"未完成"</formula>
    </cfRule>
    <cfRule type="cellIs" dxfId="1" priority="157" operator="equal">
      <formula>"未完成"</formula>
    </cfRule>
  </conditionalFormatting>
  <conditionalFormatting sqref="AF215">
    <cfRule type="cellIs" dxfId="1" priority="1176" operator="equal">
      <formula>"未完成"</formula>
    </cfRule>
    <cfRule type="cellIs" dxfId="0" priority="1179" operator="equal">
      <formula>"未完成"</formula>
    </cfRule>
  </conditionalFormatting>
  <conditionalFormatting sqref="AG215">
    <cfRule type="cellIs" dxfId="0" priority="598" operator="equal">
      <formula>"未完成"</formula>
    </cfRule>
    <cfRule type="cellIs" dxfId="1" priority="597" operator="equal">
      <formula>"未完成"</formula>
    </cfRule>
  </conditionalFormatting>
  <conditionalFormatting sqref="AH215">
    <cfRule type="cellIs" dxfId="1" priority="1170" operator="equal">
      <formula>"未完成"</formula>
    </cfRule>
    <cfRule type="cellIs" dxfId="0" priority="1173" operator="equal">
      <formula>"未完成"</formula>
    </cfRule>
  </conditionalFormatting>
  <conditionalFormatting sqref="AI215">
    <cfRule type="cellIs" dxfId="1" priority="1152" operator="equal">
      <formula>"未完成"</formula>
    </cfRule>
    <cfRule type="cellIs" dxfId="0" priority="1155" operator="equal">
      <formula>"未完成"</formula>
    </cfRule>
  </conditionalFormatting>
  <conditionalFormatting sqref="AJ215">
    <cfRule type="cellIs" dxfId="1" priority="1146" operator="equal">
      <formula>"未完成"</formula>
    </cfRule>
    <cfRule type="cellIs" dxfId="0" priority="1149" operator="equal">
      <formula>"未完成"</formula>
    </cfRule>
  </conditionalFormatting>
  <conditionalFormatting sqref="AR215">
    <cfRule type="cellIs" dxfId="1" priority="1137" operator="equal">
      <formula>"未完成"</formula>
    </cfRule>
    <cfRule type="cellIs" dxfId="0" priority="1140" operator="equal">
      <formula>"未完成"</formula>
    </cfRule>
  </conditionalFormatting>
  <conditionalFormatting sqref="AC216">
    <cfRule type="cellIs" dxfId="0" priority="1157" operator="equal">
      <formula>"未完成"</formula>
    </cfRule>
    <cfRule type="cellIs" dxfId="1" priority="1160" operator="equal">
      <formula>"未完成"</formula>
    </cfRule>
  </conditionalFormatting>
  <conditionalFormatting sqref="AD216">
    <cfRule type="cellIs" dxfId="0" priority="156" operator="equal">
      <formula>"未完成"</formula>
    </cfRule>
    <cfRule type="cellIs" dxfId="1" priority="155" operator="equal">
      <formula>"未完成"</formula>
    </cfRule>
  </conditionalFormatting>
  <conditionalFormatting sqref="AF216">
    <cfRule type="cellIs" dxfId="1" priority="1175" operator="equal">
      <formula>"未完成"</formula>
    </cfRule>
    <cfRule type="cellIs" dxfId="0" priority="1178" operator="equal">
      <formula>"未完成"</formula>
    </cfRule>
  </conditionalFormatting>
  <conditionalFormatting sqref="AG216">
    <cfRule type="cellIs" dxfId="0" priority="596" operator="equal">
      <formula>"未完成"</formula>
    </cfRule>
    <cfRule type="cellIs" dxfId="1" priority="595" operator="equal">
      <formula>"未完成"</formula>
    </cfRule>
  </conditionalFormatting>
  <conditionalFormatting sqref="AH216">
    <cfRule type="cellIs" dxfId="1" priority="1169" operator="equal">
      <formula>"未完成"</formula>
    </cfRule>
    <cfRule type="cellIs" dxfId="0" priority="1172" operator="equal">
      <formula>"未完成"</formula>
    </cfRule>
  </conditionalFormatting>
  <conditionalFormatting sqref="AI216">
    <cfRule type="cellIs" dxfId="1" priority="1151" operator="equal">
      <formula>"未完成"</formula>
    </cfRule>
    <cfRule type="cellIs" dxfId="0" priority="1154" operator="equal">
      <formula>"未完成"</formula>
    </cfRule>
  </conditionalFormatting>
  <conditionalFormatting sqref="AJ216">
    <cfRule type="cellIs" dxfId="1" priority="1145" operator="equal">
      <formula>"未完成"</formula>
    </cfRule>
    <cfRule type="cellIs" dxfId="0" priority="1148" operator="equal">
      <formula>"未完成"</formula>
    </cfRule>
  </conditionalFormatting>
  <conditionalFormatting sqref="AR216">
    <cfRule type="cellIs" dxfId="1" priority="1136" operator="equal">
      <formula>"未完成"</formula>
    </cfRule>
    <cfRule type="cellIs" dxfId="0" priority="1139" operator="equal">
      <formula>"未完成"</formula>
    </cfRule>
  </conditionalFormatting>
  <conditionalFormatting sqref="R221">
    <cfRule type="cellIs" dxfId="0" priority="1213" operator="equal">
      <formula>"欠"</formula>
    </cfRule>
  </conditionalFormatting>
  <conditionalFormatting sqref="S221">
    <cfRule type="cellIs" dxfId="0" priority="1229" operator="equal">
      <formula>"欠"</formula>
    </cfRule>
  </conditionalFormatting>
  <conditionalFormatting sqref="T221">
    <cfRule type="cellIs" dxfId="0" priority="1214" operator="equal">
      <formula>"欠"</formula>
    </cfRule>
  </conditionalFormatting>
  <conditionalFormatting sqref="AC221">
    <cfRule type="cellIs" dxfId="0" priority="1215" operator="equal">
      <formula>"未完成"</formula>
    </cfRule>
    <cfRule type="cellIs" dxfId="1" priority="1216" operator="equal">
      <formula>"未完成"</formula>
    </cfRule>
  </conditionalFormatting>
  <conditionalFormatting sqref="AD221">
    <cfRule type="cellIs" dxfId="1" priority="1217" operator="equal">
      <formula>"未完成"</formula>
    </cfRule>
    <cfRule type="cellIs" dxfId="0" priority="1218" operator="equal">
      <formula>"未完成"</formula>
    </cfRule>
  </conditionalFormatting>
  <conditionalFormatting sqref="AE221">
    <cfRule type="cellIs" dxfId="1" priority="1232" operator="equal">
      <formula>"未完成"</formula>
    </cfRule>
    <cfRule type="cellIs" dxfId="0" priority="1233" operator="equal">
      <formula>"未完成"</formula>
    </cfRule>
  </conditionalFormatting>
  <conditionalFormatting sqref="AF221">
    <cfRule type="cellIs" dxfId="1" priority="1221" operator="equal">
      <formula>"未完成"</formula>
    </cfRule>
    <cfRule type="cellIs" dxfId="0" priority="1222" operator="equal">
      <formula>"未完成"</formula>
    </cfRule>
  </conditionalFormatting>
  <conditionalFormatting sqref="AG221:AH221">
    <cfRule type="cellIs" dxfId="1" priority="1219" operator="equal">
      <formula>"未完成"</formula>
    </cfRule>
    <cfRule type="cellIs" dxfId="0" priority="1220" operator="equal">
      <formula>"未完成"</formula>
    </cfRule>
  </conditionalFormatting>
  <conditionalFormatting sqref="AI221">
    <cfRule type="cellIs" dxfId="1" priority="1230" operator="equal">
      <formula>"未完成"</formula>
    </cfRule>
    <cfRule type="cellIs" dxfId="0" priority="1231" operator="equal">
      <formula>"未完成"</formula>
    </cfRule>
  </conditionalFormatting>
  <conditionalFormatting sqref="AO221">
    <cfRule type="cellIs" dxfId="1" priority="1223" operator="equal">
      <formula>"未完成"</formula>
    </cfRule>
    <cfRule type="cellIs" dxfId="0" priority="1224" operator="equal">
      <formula>"未完成"</formula>
    </cfRule>
  </conditionalFormatting>
  <conditionalFormatting sqref="S225">
    <cfRule type="cellIs" dxfId="0" priority="1118" operator="equal">
      <formula>"欠"</formula>
    </cfRule>
  </conditionalFormatting>
  <conditionalFormatting sqref="T225">
    <cfRule type="containsText" dxfId="2" priority="1106" operator="between" text="欠">
      <formula>NOT(ISERROR(SEARCH("欠",T225)))</formula>
    </cfRule>
    <cfRule type="cellIs" dxfId="0" priority="1107" operator="equal">
      <formula>"欠"</formula>
    </cfRule>
  </conditionalFormatting>
  <conditionalFormatting sqref="AC225">
    <cfRule type="cellIs" dxfId="0" priority="1108" operator="equal">
      <formula>"未完成"</formula>
    </cfRule>
    <cfRule type="cellIs" dxfId="1" priority="1109" operator="equal">
      <formula>"未完成"</formula>
    </cfRule>
  </conditionalFormatting>
  <conditionalFormatting sqref="AD225">
    <cfRule type="cellIs" dxfId="1" priority="1110" operator="equal">
      <formula>"未完成"</formula>
    </cfRule>
    <cfRule type="cellIs" dxfId="0" priority="1111" operator="equal">
      <formula>"未完成"</formula>
    </cfRule>
  </conditionalFormatting>
  <conditionalFormatting sqref="AF225">
    <cfRule type="cellIs" dxfId="1" priority="1114" operator="equal">
      <formula>"未完成"</formula>
    </cfRule>
    <cfRule type="cellIs" dxfId="0" priority="1115" operator="equal">
      <formula>"未完成"</formula>
    </cfRule>
  </conditionalFormatting>
  <conditionalFormatting sqref="AG225">
    <cfRule type="cellIs" dxfId="1" priority="1102" operator="equal">
      <formula>"未完成"</formula>
    </cfRule>
    <cfRule type="cellIs" dxfId="0" priority="1103" operator="equal">
      <formula>"未完成"</formula>
    </cfRule>
  </conditionalFormatting>
  <conditionalFormatting sqref="AH225">
    <cfRule type="cellIs" dxfId="1" priority="1112" operator="equal">
      <formula>"未完成"</formula>
    </cfRule>
    <cfRule type="cellIs" dxfId="0" priority="1113" operator="equal">
      <formula>"未完成"</formula>
    </cfRule>
  </conditionalFormatting>
  <conditionalFormatting sqref="AI225">
    <cfRule type="cellIs" dxfId="1" priority="1119" operator="equal">
      <formula>"未完成"</formula>
    </cfRule>
    <cfRule type="cellIs" dxfId="0" priority="1120" operator="equal">
      <formula>"未完成"</formula>
    </cfRule>
  </conditionalFormatting>
  <conditionalFormatting sqref="AO225">
    <cfRule type="cellIs" dxfId="1" priority="1104" operator="equal">
      <formula>"未完成"</formula>
    </cfRule>
    <cfRule type="cellIs" dxfId="0" priority="1105" operator="equal">
      <formula>"未完成"</formula>
    </cfRule>
  </conditionalFormatting>
  <conditionalFormatting sqref="S226">
    <cfRule type="cellIs" dxfId="0" priority="609" operator="equal">
      <formula>"欠"</formula>
    </cfRule>
  </conditionalFormatting>
  <conditionalFormatting sqref="T226">
    <cfRule type="cellIs" dxfId="0" priority="611" operator="equal">
      <formula>"欠"</formula>
    </cfRule>
    <cfRule type="containsText" dxfId="2" priority="610" operator="between" text="欠">
      <formula>NOT(ISERROR(SEARCH("欠",T226)))</formula>
    </cfRule>
  </conditionalFormatting>
  <conditionalFormatting sqref="AC226">
    <cfRule type="cellIs" dxfId="1" priority="620" operator="equal">
      <formula>"未完成"</formula>
    </cfRule>
    <cfRule type="cellIs" dxfId="0" priority="619" operator="equal">
      <formula>"未完成"</formula>
    </cfRule>
  </conditionalFormatting>
  <conditionalFormatting sqref="AD226">
    <cfRule type="cellIs" dxfId="0" priority="622" operator="equal">
      <formula>"未完成"</formula>
    </cfRule>
    <cfRule type="cellIs" dxfId="1" priority="621" operator="equal">
      <formula>"未完成"</formula>
    </cfRule>
  </conditionalFormatting>
  <conditionalFormatting sqref="AF226">
    <cfRule type="cellIs" dxfId="0" priority="626" operator="equal">
      <formula>"未完成"</formula>
    </cfRule>
    <cfRule type="cellIs" dxfId="1" priority="625" operator="equal">
      <formula>"未完成"</formula>
    </cfRule>
  </conditionalFormatting>
  <conditionalFormatting sqref="AG226:AH226">
    <cfRule type="cellIs" dxfId="0" priority="624" operator="equal">
      <formula>"未完成"</formula>
    </cfRule>
    <cfRule type="cellIs" dxfId="1" priority="623" operator="equal">
      <formula>"未完成"</formula>
    </cfRule>
  </conditionalFormatting>
  <conditionalFormatting sqref="AI226">
    <cfRule type="cellIs" dxfId="0" priority="618" operator="equal">
      <formula>"未完成"</formula>
    </cfRule>
    <cfRule type="cellIs" dxfId="1" priority="617" operator="equal">
      <formula>"未完成"</formula>
    </cfRule>
  </conditionalFormatting>
  <conditionalFormatting sqref="AJ226">
    <cfRule type="cellIs" dxfId="0" priority="616" operator="equal">
      <formula>"未完成"</formula>
    </cfRule>
    <cfRule type="cellIs" dxfId="1" priority="615" operator="equal">
      <formula>"未完成"</formula>
    </cfRule>
  </conditionalFormatting>
  <conditionalFormatting sqref="AK226">
    <cfRule type="cellIs" dxfId="0" priority="608" operator="equal">
      <formula>"未完成"</formula>
    </cfRule>
    <cfRule type="cellIs" dxfId="1" priority="607" operator="equal">
      <formula>"未完成"</formula>
    </cfRule>
  </conditionalFormatting>
  <conditionalFormatting sqref="AR226">
    <cfRule type="cellIs" dxfId="0" priority="613" operator="equal">
      <formula>"未完成"</formula>
    </cfRule>
    <cfRule type="cellIs" dxfId="1" priority="612" operator="equal">
      <formula>"未完成"</formula>
    </cfRule>
  </conditionalFormatting>
  <conditionalFormatting sqref="AC229">
    <cfRule type="cellIs" dxfId="1" priority="233" operator="equal">
      <formula>"未完成"</formula>
    </cfRule>
    <cfRule type="cellIs" dxfId="0" priority="226" operator="equal">
      <formula>"未完成"</formula>
    </cfRule>
  </conditionalFormatting>
  <conditionalFormatting sqref="AD229">
    <cfRule type="cellIs" dxfId="0" priority="247" operator="equal">
      <formula>"未完成"</formula>
    </cfRule>
    <cfRule type="cellIs" dxfId="1" priority="240" operator="equal">
      <formula>"未完成"</formula>
    </cfRule>
  </conditionalFormatting>
  <conditionalFormatting sqref="AF229">
    <cfRule type="cellIs" dxfId="0" priority="275" operator="equal">
      <formula>"未完成"</formula>
    </cfRule>
    <cfRule type="cellIs" dxfId="1" priority="268" operator="equal">
      <formula>"未完成"</formula>
    </cfRule>
  </conditionalFormatting>
  <conditionalFormatting sqref="AG229:AH229">
    <cfRule type="cellIs" dxfId="0" priority="261" operator="equal">
      <formula>"未完成"</formula>
    </cfRule>
    <cfRule type="cellIs" dxfId="1" priority="254" operator="equal">
      <formula>"未完成"</formula>
    </cfRule>
  </conditionalFormatting>
  <conditionalFormatting sqref="AI229">
    <cfRule type="cellIs" dxfId="0" priority="324" operator="equal">
      <formula>"未完成"</formula>
    </cfRule>
    <cfRule type="cellIs" dxfId="1" priority="317" operator="equal">
      <formula>"未完成"</formula>
    </cfRule>
  </conditionalFormatting>
  <conditionalFormatting sqref="AR229">
    <cfRule type="cellIs" dxfId="0" priority="219" operator="equal">
      <formula>"未完成"</formula>
    </cfRule>
    <cfRule type="cellIs" dxfId="1" priority="212" operator="equal">
      <formula>"未完成"</formula>
    </cfRule>
  </conditionalFormatting>
  <conditionalFormatting sqref="AC230">
    <cfRule type="cellIs" dxfId="1" priority="232" operator="equal">
      <formula>"未完成"</formula>
    </cfRule>
    <cfRule type="cellIs" dxfId="0" priority="225" operator="equal">
      <formula>"未完成"</formula>
    </cfRule>
  </conditionalFormatting>
  <conditionalFormatting sqref="AD230">
    <cfRule type="cellIs" dxfId="0" priority="246" operator="equal">
      <formula>"未完成"</formula>
    </cfRule>
    <cfRule type="cellIs" dxfId="1" priority="239" operator="equal">
      <formula>"未完成"</formula>
    </cfRule>
  </conditionalFormatting>
  <conditionalFormatting sqref="AF230">
    <cfRule type="cellIs" dxfId="0" priority="274" operator="equal">
      <formula>"未完成"</formula>
    </cfRule>
    <cfRule type="cellIs" dxfId="1" priority="267" operator="equal">
      <formula>"未完成"</formula>
    </cfRule>
  </conditionalFormatting>
  <conditionalFormatting sqref="AG230:AH230">
    <cfRule type="cellIs" dxfId="0" priority="260" operator="equal">
      <formula>"未完成"</formula>
    </cfRule>
    <cfRule type="cellIs" dxfId="1" priority="253" operator="equal">
      <formula>"未完成"</formula>
    </cfRule>
  </conditionalFormatting>
  <conditionalFormatting sqref="AI230">
    <cfRule type="cellIs" dxfId="0" priority="323" operator="equal">
      <formula>"未完成"</formula>
    </cfRule>
    <cfRule type="cellIs" dxfId="1" priority="316" operator="equal">
      <formula>"未完成"</formula>
    </cfRule>
  </conditionalFormatting>
  <conditionalFormatting sqref="AR230">
    <cfRule type="cellIs" dxfId="0" priority="218" operator="equal">
      <formula>"未完成"</formula>
    </cfRule>
    <cfRule type="cellIs" dxfId="1" priority="211" operator="equal">
      <formula>"未完成"</formula>
    </cfRule>
  </conditionalFormatting>
  <conditionalFormatting sqref="AC231">
    <cfRule type="cellIs" dxfId="1" priority="231" operator="equal">
      <formula>"未完成"</formula>
    </cfRule>
    <cfRule type="cellIs" dxfId="0" priority="224" operator="equal">
      <formula>"未完成"</formula>
    </cfRule>
  </conditionalFormatting>
  <conditionalFormatting sqref="AD231">
    <cfRule type="cellIs" dxfId="0" priority="245" operator="equal">
      <formula>"未完成"</formula>
    </cfRule>
    <cfRule type="cellIs" dxfId="1" priority="238" operator="equal">
      <formula>"未完成"</formula>
    </cfRule>
  </conditionalFormatting>
  <conditionalFormatting sqref="AF231">
    <cfRule type="cellIs" dxfId="0" priority="273" operator="equal">
      <formula>"未完成"</formula>
    </cfRule>
    <cfRule type="cellIs" dxfId="1" priority="266" operator="equal">
      <formula>"未完成"</formula>
    </cfRule>
  </conditionalFormatting>
  <conditionalFormatting sqref="AG231:AH231">
    <cfRule type="cellIs" dxfId="0" priority="259" operator="equal">
      <formula>"未完成"</formula>
    </cfRule>
    <cfRule type="cellIs" dxfId="1" priority="252" operator="equal">
      <formula>"未完成"</formula>
    </cfRule>
  </conditionalFormatting>
  <conditionalFormatting sqref="AI231">
    <cfRule type="cellIs" dxfId="0" priority="322" operator="equal">
      <formula>"未完成"</formula>
    </cfRule>
    <cfRule type="cellIs" dxfId="1" priority="315" operator="equal">
      <formula>"未完成"</formula>
    </cfRule>
  </conditionalFormatting>
  <conditionalFormatting sqref="AR231">
    <cfRule type="cellIs" dxfId="0" priority="217" operator="equal">
      <formula>"未完成"</formula>
    </cfRule>
    <cfRule type="cellIs" dxfId="1" priority="210" operator="equal">
      <formula>"未完成"</formula>
    </cfRule>
  </conditionalFormatting>
  <conditionalFormatting sqref="AC232">
    <cfRule type="cellIs" dxfId="1" priority="230" operator="equal">
      <formula>"未完成"</formula>
    </cfRule>
    <cfRule type="cellIs" dxfId="0" priority="223" operator="equal">
      <formula>"未完成"</formula>
    </cfRule>
  </conditionalFormatting>
  <conditionalFormatting sqref="AD232">
    <cfRule type="cellIs" dxfId="0" priority="244" operator="equal">
      <formula>"未完成"</formula>
    </cfRule>
    <cfRule type="cellIs" dxfId="1" priority="237" operator="equal">
      <formula>"未完成"</formula>
    </cfRule>
  </conditionalFormatting>
  <conditionalFormatting sqref="AF232">
    <cfRule type="cellIs" dxfId="0" priority="272" operator="equal">
      <formula>"未完成"</formula>
    </cfRule>
    <cfRule type="cellIs" dxfId="1" priority="265" operator="equal">
      <formula>"未完成"</formula>
    </cfRule>
  </conditionalFormatting>
  <conditionalFormatting sqref="AG232:AH232">
    <cfRule type="cellIs" dxfId="0" priority="258" operator="equal">
      <formula>"未完成"</formula>
    </cfRule>
    <cfRule type="cellIs" dxfId="1" priority="251" operator="equal">
      <formula>"未完成"</formula>
    </cfRule>
  </conditionalFormatting>
  <conditionalFormatting sqref="AI232">
    <cfRule type="cellIs" dxfId="0" priority="321" operator="equal">
      <formula>"未完成"</formula>
    </cfRule>
    <cfRule type="cellIs" dxfId="1" priority="314" operator="equal">
      <formula>"未完成"</formula>
    </cfRule>
  </conditionalFormatting>
  <conditionalFormatting sqref="AR232">
    <cfRule type="cellIs" dxfId="0" priority="216" operator="equal">
      <formula>"未完成"</formula>
    </cfRule>
    <cfRule type="cellIs" dxfId="1" priority="209" operator="equal">
      <formula>"未完成"</formula>
    </cfRule>
  </conditionalFormatting>
  <conditionalFormatting sqref="AC233">
    <cfRule type="cellIs" dxfId="1" priority="229" operator="equal">
      <formula>"未完成"</formula>
    </cfRule>
    <cfRule type="cellIs" dxfId="0" priority="222" operator="equal">
      <formula>"未完成"</formula>
    </cfRule>
  </conditionalFormatting>
  <conditionalFormatting sqref="AD233">
    <cfRule type="cellIs" dxfId="0" priority="243" operator="equal">
      <formula>"未完成"</formula>
    </cfRule>
    <cfRule type="cellIs" dxfId="1" priority="236" operator="equal">
      <formula>"未完成"</formula>
    </cfRule>
  </conditionalFormatting>
  <conditionalFormatting sqref="AF233">
    <cfRule type="cellIs" dxfId="0" priority="271" operator="equal">
      <formula>"未完成"</formula>
    </cfRule>
    <cfRule type="cellIs" dxfId="1" priority="264" operator="equal">
      <formula>"未完成"</formula>
    </cfRule>
  </conditionalFormatting>
  <conditionalFormatting sqref="AG233:AH233">
    <cfRule type="cellIs" dxfId="0" priority="257" operator="equal">
      <formula>"未完成"</formula>
    </cfRule>
    <cfRule type="cellIs" dxfId="1" priority="250" operator="equal">
      <formula>"未完成"</formula>
    </cfRule>
  </conditionalFormatting>
  <conditionalFormatting sqref="AI233">
    <cfRule type="cellIs" dxfId="0" priority="320" operator="equal">
      <formula>"未完成"</formula>
    </cfRule>
    <cfRule type="cellIs" dxfId="1" priority="313" operator="equal">
      <formula>"未完成"</formula>
    </cfRule>
  </conditionalFormatting>
  <conditionalFormatting sqref="AR233">
    <cfRule type="cellIs" dxfId="0" priority="215" operator="equal">
      <formula>"未完成"</formula>
    </cfRule>
    <cfRule type="cellIs" dxfId="1" priority="208" operator="equal">
      <formula>"未完成"</formula>
    </cfRule>
  </conditionalFormatting>
  <conditionalFormatting sqref="AC234">
    <cfRule type="cellIs" dxfId="1" priority="228" operator="equal">
      <formula>"未完成"</formula>
    </cfRule>
    <cfRule type="cellIs" dxfId="0" priority="221" operator="equal">
      <formula>"未完成"</formula>
    </cfRule>
  </conditionalFormatting>
  <conditionalFormatting sqref="AD234">
    <cfRule type="cellIs" dxfId="0" priority="242" operator="equal">
      <formula>"未完成"</formula>
    </cfRule>
    <cfRule type="cellIs" dxfId="1" priority="235" operator="equal">
      <formula>"未完成"</formula>
    </cfRule>
  </conditionalFormatting>
  <conditionalFormatting sqref="AF234">
    <cfRule type="cellIs" dxfId="0" priority="270" operator="equal">
      <formula>"未完成"</formula>
    </cfRule>
    <cfRule type="cellIs" dxfId="1" priority="263" operator="equal">
      <formula>"未完成"</formula>
    </cfRule>
  </conditionalFormatting>
  <conditionalFormatting sqref="AG234:AH234">
    <cfRule type="cellIs" dxfId="0" priority="256" operator="equal">
      <formula>"未完成"</formula>
    </cfRule>
    <cfRule type="cellIs" dxfId="1" priority="249" operator="equal">
      <formula>"未完成"</formula>
    </cfRule>
  </conditionalFormatting>
  <conditionalFormatting sqref="AI234">
    <cfRule type="cellIs" dxfId="0" priority="319" operator="equal">
      <formula>"未完成"</formula>
    </cfRule>
    <cfRule type="cellIs" dxfId="1" priority="312" operator="equal">
      <formula>"未完成"</formula>
    </cfRule>
  </conditionalFormatting>
  <conditionalFormatting sqref="AR234">
    <cfRule type="cellIs" dxfId="0" priority="214" operator="equal">
      <formula>"未完成"</formula>
    </cfRule>
    <cfRule type="cellIs" dxfId="1" priority="207" operator="equal">
      <formula>"未完成"</formula>
    </cfRule>
  </conditionalFormatting>
  <conditionalFormatting sqref="AC235">
    <cfRule type="cellIs" dxfId="1" priority="227" operator="equal">
      <formula>"未完成"</formula>
    </cfRule>
    <cfRule type="cellIs" dxfId="0" priority="220" operator="equal">
      <formula>"未完成"</formula>
    </cfRule>
  </conditionalFormatting>
  <conditionalFormatting sqref="AD235">
    <cfRule type="cellIs" dxfId="0" priority="241" operator="equal">
      <formula>"未完成"</formula>
    </cfRule>
    <cfRule type="cellIs" dxfId="1" priority="234" operator="equal">
      <formula>"未完成"</formula>
    </cfRule>
  </conditionalFormatting>
  <conditionalFormatting sqref="AF235">
    <cfRule type="cellIs" dxfId="0" priority="269" operator="equal">
      <formula>"未完成"</formula>
    </cfRule>
    <cfRule type="cellIs" dxfId="1" priority="262" operator="equal">
      <formula>"未完成"</formula>
    </cfRule>
  </conditionalFormatting>
  <conditionalFormatting sqref="AG235:AH235">
    <cfRule type="cellIs" dxfId="0" priority="255" operator="equal">
      <formula>"未完成"</formula>
    </cfRule>
    <cfRule type="cellIs" dxfId="1" priority="248" operator="equal">
      <formula>"未完成"</formula>
    </cfRule>
  </conditionalFormatting>
  <conditionalFormatting sqref="AI235">
    <cfRule type="cellIs" dxfId="0" priority="318" operator="equal">
      <formula>"未完成"</formula>
    </cfRule>
    <cfRule type="cellIs" dxfId="1" priority="311" operator="equal">
      <formula>"未完成"</formula>
    </cfRule>
  </conditionalFormatting>
  <conditionalFormatting sqref="AR235">
    <cfRule type="cellIs" dxfId="0" priority="213" operator="equal">
      <formula>"未完成"</formula>
    </cfRule>
    <cfRule type="cellIs" dxfId="1" priority="206" operator="equal">
      <formula>"未完成"</formula>
    </cfRule>
  </conditionalFormatting>
  <conditionalFormatting sqref="R237">
    <cfRule type="cellIs" dxfId="0" priority="430" operator="equal">
      <formula>"欠"</formula>
    </cfRule>
  </conditionalFormatting>
  <conditionalFormatting sqref="S237">
    <cfRule type="cellIs" dxfId="0" priority="447" operator="equal">
      <formula>"欠"</formula>
    </cfRule>
  </conditionalFormatting>
  <conditionalFormatting sqref="T237">
    <cfRule type="cellIs" dxfId="0" priority="441" operator="equal">
      <formula>"欠"</formula>
    </cfRule>
    <cfRule type="containsText" dxfId="2" priority="442" operator="between" text="欠">
      <formula>NOT(ISERROR(SEARCH("欠",T237)))</formula>
    </cfRule>
  </conditionalFormatting>
  <conditionalFormatting sqref="AC237">
    <cfRule type="cellIs" dxfId="1" priority="433" operator="equal">
      <formula>"未完成"</formula>
    </cfRule>
    <cfRule type="cellIs" dxfId="0" priority="434" operator="equal">
      <formula>"未完成"</formula>
    </cfRule>
  </conditionalFormatting>
  <conditionalFormatting sqref="AD237">
    <cfRule type="cellIs" dxfId="1" priority="435" operator="equal">
      <formula>"未完成"</formula>
    </cfRule>
    <cfRule type="cellIs" dxfId="0" priority="436" operator="equal">
      <formula>"未完成"</formula>
    </cfRule>
  </conditionalFormatting>
  <conditionalFormatting sqref="AF237">
    <cfRule type="cellIs" dxfId="1" priority="439" operator="equal">
      <formula>"未完成"</formula>
    </cfRule>
    <cfRule type="cellIs" dxfId="0" priority="440" operator="equal">
      <formula>"未完成"</formula>
    </cfRule>
  </conditionalFormatting>
  <conditionalFormatting sqref="AG237:AH237">
    <cfRule type="cellIs" dxfId="1" priority="437" operator="equal">
      <formula>"未完成"</formula>
    </cfRule>
    <cfRule type="cellIs" dxfId="0" priority="438" operator="equal">
      <formula>"未完成"</formula>
    </cfRule>
  </conditionalFormatting>
  <conditionalFormatting sqref="AI237">
    <cfRule type="cellIs" dxfId="1" priority="448" operator="equal">
      <formula>"未完成"</formula>
    </cfRule>
    <cfRule type="cellIs" dxfId="0" priority="449" operator="equal">
      <formula>"未完成"</formula>
    </cfRule>
  </conditionalFormatting>
  <conditionalFormatting sqref="AJ237">
    <cfRule type="cellIs" dxfId="1" priority="443" operator="equal">
      <formula>"未完成"</formula>
    </cfRule>
    <cfRule type="cellIs" dxfId="0" priority="444" operator="equal">
      <formula>"未完成"</formula>
    </cfRule>
  </conditionalFormatting>
  <conditionalFormatting sqref="AO237">
    <cfRule type="cellIs" dxfId="1" priority="431" operator="equal">
      <formula>"未完成"</formula>
    </cfRule>
    <cfRule type="cellIs" dxfId="0" priority="432" operator="equal">
      <formula>"未完成"</formula>
    </cfRule>
  </conditionalFormatting>
  <conditionalFormatting sqref="AC238">
    <cfRule type="cellIs" dxfId="0" priority="481" operator="equal">
      <formula>"未完成"</formula>
    </cfRule>
    <cfRule type="cellIs" dxfId="1" priority="486" operator="equal">
      <formula>"未完成"</formula>
    </cfRule>
  </conditionalFormatting>
  <conditionalFormatting sqref="AD238">
    <cfRule type="cellIs" dxfId="1" priority="491" operator="equal">
      <formula>"未完成"</formula>
    </cfRule>
    <cfRule type="cellIs" dxfId="0" priority="496" operator="equal">
      <formula>"未完成"</formula>
    </cfRule>
  </conditionalFormatting>
  <conditionalFormatting sqref="AF238">
    <cfRule type="cellIs" dxfId="1" priority="511" operator="equal">
      <formula>"未完成"</formula>
    </cfRule>
    <cfRule type="cellIs" dxfId="0" priority="516" operator="equal">
      <formula>"未完成"</formula>
    </cfRule>
  </conditionalFormatting>
  <conditionalFormatting sqref="AG238:AH238">
    <cfRule type="cellIs" dxfId="1" priority="501" operator="equal">
      <formula>"未完成"</formula>
    </cfRule>
    <cfRule type="cellIs" dxfId="0" priority="506" operator="equal">
      <formula>"未完成"</formula>
    </cfRule>
  </conditionalFormatting>
  <conditionalFormatting sqref="AI238">
    <cfRule type="cellIs" dxfId="1" priority="546" operator="equal">
      <formula>"未完成"</formula>
    </cfRule>
    <cfRule type="cellIs" dxfId="0" priority="551" operator="equal">
      <formula>"未完成"</formula>
    </cfRule>
  </conditionalFormatting>
  <conditionalFormatting sqref="AR238">
    <cfRule type="cellIs" dxfId="1" priority="471" operator="equal">
      <formula>"未完成"</formula>
    </cfRule>
    <cfRule type="cellIs" dxfId="0" priority="476" operator="equal">
      <formula>"未完成"</formula>
    </cfRule>
  </conditionalFormatting>
  <conditionalFormatting sqref="AC239">
    <cfRule type="cellIs" dxfId="0" priority="480" operator="equal">
      <formula>"未完成"</formula>
    </cfRule>
    <cfRule type="cellIs" dxfId="1" priority="485" operator="equal">
      <formula>"未完成"</formula>
    </cfRule>
  </conditionalFormatting>
  <conditionalFormatting sqref="AD239">
    <cfRule type="cellIs" dxfId="1" priority="490" operator="equal">
      <formula>"未完成"</formula>
    </cfRule>
    <cfRule type="cellIs" dxfId="0" priority="495" operator="equal">
      <formula>"未完成"</formula>
    </cfRule>
  </conditionalFormatting>
  <conditionalFormatting sqref="AF239">
    <cfRule type="cellIs" dxfId="1" priority="510" operator="equal">
      <formula>"未完成"</formula>
    </cfRule>
    <cfRule type="cellIs" dxfId="0" priority="515" operator="equal">
      <formula>"未完成"</formula>
    </cfRule>
  </conditionalFormatting>
  <conditionalFormatting sqref="AG239:AH239">
    <cfRule type="cellIs" dxfId="1" priority="500" operator="equal">
      <formula>"未完成"</formula>
    </cfRule>
    <cfRule type="cellIs" dxfId="0" priority="505" operator="equal">
      <formula>"未完成"</formula>
    </cfRule>
  </conditionalFormatting>
  <conditionalFormatting sqref="AI239">
    <cfRule type="cellIs" dxfId="1" priority="545" operator="equal">
      <formula>"未完成"</formula>
    </cfRule>
    <cfRule type="cellIs" dxfId="0" priority="550" operator="equal">
      <formula>"未完成"</formula>
    </cfRule>
  </conditionalFormatting>
  <conditionalFormatting sqref="AR239">
    <cfRule type="cellIs" dxfId="1" priority="470" operator="equal">
      <formula>"未完成"</formula>
    </cfRule>
    <cfRule type="cellIs" dxfId="0" priority="475" operator="equal">
      <formula>"未完成"</formula>
    </cfRule>
  </conditionalFormatting>
  <conditionalFormatting sqref="AC240">
    <cfRule type="cellIs" dxfId="0" priority="479" operator="equal">
      <formula>"未完成"</formula>
    </cfRule>
    <cfRule type="cellIs" dxfId="1" priority="484" operator="equal">
      <formula>"未完成"</formula>
    </cfRule>
  </conditionalFormatting>
  <conditionalFormatting sqref="AD240">
    <cfRule type="cellIs" dxfId="1" priority="489" operator="equal">
      <formula>"未完成"</formula>
    </cfRule>
    <cfRule type="cellIs" dxfId="0" priority="494" operator="equal">
      <formula>"未完成"</formula>
    </cfRule>
  </conditionalFormatting>
  <conditionalFormatting sqref="AF240">
    <cfRule type="cellIs" dxfId="1" priority="509" operator="equal">
      <formula>"未完成"</formula>
    </cfRule>
    <cfRule type="cellIs" dxfId="0" priority="514" operator="equal">
      <formula>"未完成"</formula>
    </cfRule>
  </conditionalFormatting>
  <conditionalFormatting sqref="AG240:AH240">
    <cfRule type="cellIs" dxfId="1" priority="499" operator="equal">
      <formula>"未完成"</formula>
    </cfRule>
    <cfRule type="cellIs" dxfId="0" priority="504" operator="equal">
      <formula>"未完成"</formula>
    </cfRule>
  </conditionalFormatting>
  <conditionalFormatting sqref="AI240">
    <cfRule type="cellIs" dxfId="1" priority="544" operator="equal">
      <formula>"未完成"</formula>
    </cfRule>
    <cfRule type="cellIs" dxfId="0" priority="549" operator="equal">
      <formula>"未完成"</formula>
    </cfRule>
  </conditionalFormatting>
  <conditionalFormatting sqref="AR240">
    <cfRule type="cellIs" dxfId="1" priority="469" operator="equal">
      <formula>"未完成"</formula>
    </cfRule>
    <cfRule type="cellIs" dxfId="0" priority="474" operator="equal">
      <formula>"未完成"</formula>
    </cfRule>
  </conditionalFormatting>
  <conditionalFormatting sqref="AC241">
    <cfRule type="cellIs" dxfId="0" priority="478" operator="equal">
      <formula>"未完成"</formula>
    </cfRule>
    <cfRule type="cellIs" dxfId="1" priority="483" operator="equal">
      <formula>"未完成"</formula>
    </cfRule>
  </conditionalFormatting>
  <conditionalFormatting sqref="AD241">
    <cfRule type="cellIs" dxfId="1" priority="488" operator="equal">
      <formula>"未完成"</formula>
    </cfRule>
    <cfRule type="cellIs" dxfId="0" priority="493" operator="equal">
      <formula>"未完成"</formula>
    </cfRule>
  </conditionalFormatting>
  <conditionalFormatting sqref="AF241">
    <cfRule type="cellIs" dxfId="1" priority="508" operator="equal">
      <formula>"未完成"</formula>
    </cfRule>
    <cfRule type="cellIs" dxfId="0" priority="513" operator="equal">
      <formula>"未完成"</formula>
    </cfRule>
  </conditionalFormatting>
  <conditionalFormatting sqref="AG241:AH241">
    <cfRule type="cellIs" dxfId="1" priority="498" operator="equal">
      <formula>"未完成"</formula>
    </cfRule>
    <cfRule type="cellIs" dxfId="0" priority="503" operator="equal">
      <formula>"未完成"</formula>
    </cfRule>
  </conditionalFormatting>
  <conditionalFormatting sqref="AI241">
    <cfRule type="cellIs" dxfId="1" priority="543" operator="equal">
      <formula>"未完成"</formula>
    </cfRule>
    <cfRule type="cellIs" dxfId="0" priority="548" operator="equal">
      <formula>"未完成"</formula>
    </cfRule>
  </conditionalFormatting>
  <conditionalFormatting sqref="AR241">
    <cfRule type="cellIs" dxfId="1" priority="468" operator="equal">
      <formula>"未完成"</formula>
    </cfRule>
    <cfRule type="cellIs" dxfId="0" priority="473" operator="equal">
      <formula>"未完成"</formula>
    </cfRule>
  </conditionalFormatting>
  <conditionalFormatting sqref="AC242">
    <cfRule type="cellIs" dxfId="0" priority="477" operator="equal">
      <formula>"未完成"</formula>
    </cfRule>
    <cfRule type="cellIs" dxfId="1" priority="482" operator="equal">
      <formula>"未完成"</formula>
    </cfRule>
  </conditionalFormatting>
  <conditionalFormatting sqref="AD242">
    <cfRule type="cellIs" dxfId="1" priority="487" operator="equal">
      <formula>"未完成"</formula>
    </cfRule>
    <cfRule type="cellIs" dxfId="0" priority="492" operator="equal">
      <formula>"未完成"</formula>
    </cfRule>
  </conditionalFormatting>
  <conditionalFormatting sqref="AF242">
    <cfRule type="cellIs" dxfId="1" priority="507" operator="equal">
      <formula>"未完成"</formula>
    </cfRule>
    <cfRule type="cellIs" dxfId="0" priority="512" operator="equal">
      <formula>"未完成"</formula>
    </cfRule>
  </conditionalFormatting>
  <conditionalFormatting sqref="AG242:AH242">
    <cfRule type="cellIs" dxfId="1" priority="497" operator="equal">
      <formula>"未完成"</formula>
    </cfRule>
    <cfRule type="cellIs" dxfId="0" priority="502" operator="equal">
      <formula>"未完成"</formula>
    </cfRule>
  </conditionalFormatting>
  <conditionalFormatting sqref="AI242">
    <cfRule type="cellIs" dxfId="1" priority="542" operator="equal">
      <formula>"未完成"</formula>
    </cfRule>
    <cfRule type="cellIs" dxfId="0" priority="547" operator="equal">
      <formula>"未完成"</formula>
    </cfRule>
  </conditionalFormatting>
  <conditionalFormatting sqref="AR242">
    <cfRule type="cellIs" dxfId="1" priority="467" operator="equal">
      <formula>"未完成"</formula>
    </cfRule>
    <cfRule type="cellIs" dxfId="0" priority="472" operator="equal">
      <formula>"未完成"</formula>
    </cfRule>
  </conditionalFormatting>
  <conditionalFormatting sqref="R245">
    <cfRule type="cellIs" dxfId="0" priority="21" operator="equal">
      <formula>"欠"</formula>
    </cfRule>
  </conditionalFormatting>
  <conditionalFormatting sqref="S245">
    <cfRule type="cellIs" dxfId="0" priority="126" operator="equal">
      <formula>"欠"</formula>
    </cfRule>
  </conditionalFormatting>
  <conditionalFormatting sqref="T245">
    <cfRule type="cellIs" dxfId="0" priority="14" operator="equal">
      <formula>"欠"</formula>
    </cfRule>
    <cfRule type="containsText" dxfId="2" priority="7" operator="between" text="欠">
      <formula>NOT(ISERROR(SEARCH("欠",T245)))</formula>
    </cfRule>
  </conditionalFormatting>
  <conditionalFormatting sqref="AC245">
    <cfRule type="cellIs" dxfId="1" priority="49" operator="equal">
      <formula>"未完成"</formula>
    </cfRule>
    <cfRule type="cellIs" dxfId="0" priority="42" operator="equal">
      <formula>"未完成"</formula>
    </cfRule>
  </conditionalFormatting>
  <conditionalFormatting sqref="AD245">
    <cfRule type="cellIs" dxfId="0" priority="63" operator="equal">
      <formula>"未完成"</formula>
    </cfRule>
    <cfRule type="cellIs" dxfId="1" priority="56" operator="equal">
      <formula>"未完成"</formula>
    </cfRule>
  </conditionalFormatting>
  <conditionalFormatting sqref="AE245">
    <cfRule type="cellIs" dxfId="0" priority="154" operator="equal">
      <formula>"未完成"</formula>
    </cfRule>
    <cfRule type="cellIs" dxfId="1" priority="147" operator="equal">
      <formula>"未完成"</formula>
    </cfRule>
  </conditionalFormatting>
  <conditionalFormatting sqref="AF245">
    <cfRule type="cellIs" dxfId="0" priority="91" operator="equal">
      <formula>"未完成"</formula>
    </cfRule>
    <cfRule type="cellIs" dxfId="1" priority="84" operator="equal">
      <formula>"未完成"</formula>
    </cfRule>
  </conditionalFormatting>
  <conditionalFormatting sqref="AG245:AH245">
    <cfRule type="cellIs" dxfId="0" priority="77" operator="equal">
      <formula>"未完成"</formula>
    </cfRule>
    <cfRule type="cellIs" dxfId="1" priority="70" operator="equal">
      <formula>"未完成"</formula>
    </cfRule>
  </conditionalFormatting>
  <conditionalFormatting sqref="AI245">
    <cfRule type="cellIs" dxfId="0" priority="140" operator="equal">
      <formula>"未完成"</formula>
    </cfRule>
    <cfRule type="cellIs" dxfId="1" priority="133" operator="equal">
      <formula>"未完成"</formula>
    </cfRule>
  </conditionalFormatting>
  <conditionalFormatting sqref="AJ245">
    <cfRule type="cellIs" dxfId="0" priority="119" operator="equal">
      <formula>"未完成"</formula>
    </cfRule>
    <cfRule type="cellIs" dxfId="1" priority="112" operator="equal">
      <formula>"未完成"</formula>
    </cfRule>
  </conditionalFormatting>
  <conditionalFormatting sqref="AM245">
    <cfRule type="cellIs" dxfId="0" priority="105" operator="equal">
      <formula>"未完成"</formula>
    </cfRule>
    <cfRule type="cellIs" dxfId="1" priority="98" operator="equal">
      <formula>"未完成"</formula>
    </cfRule>
  </conditionalFormatting>
  <conditionalFormatting sqref="AR245">
    <cfRule type="cellIs" dxfId="0" priority="35" operator="equal">
      <formula>"未完成"</formula>
    </cfRule>
    <cfRule type="cellIs" dxfId="1" priority="28" operator="equal">
      <formula>"未完成"</formula>
    </cfRule>
  </conditionalFormatting>
  <conditionalFormatting sqref="R246">
    <cfRule type="cellIs" dxfId="0" priority="20" operator="equal">
      <formula>"欠"</formula>
    </cfRule>
  </conditionalFormatting>
  <conditionalFormatting sqref="S246">
    <cfRule type="cellIs" dxfId="0" priority="125" operator="equal">
      <formula>"欠"</formula>
    </cfRule>
  </conditionalFormatting>
  <conditionalFormatting sqref="T246">
    <cfRule type="cellIs" dxfId="0" priority="13" operator="equal">
      <formula>"欠"</formula>
    </cfRule>
    <cfRule type="containsText" dxfId="2" priority="6" operator="between" text="欠">
      <formula>NOT(ISERROR(SEARCH("欠",T246)))</formula>
    </cfRule>
  </conditionalFormatting>
  <conditionalFormatting sqref="AC246">
    <cfRule type="cellIs" dxfId="1" priority="48" operator="equal">
      <formula>"未完成"</formula>
    </cfRule>
    <cfRule type="cellIs" dxfId="0" priority="41" operator="equal">
      <formula>"未完成"</formula>
    </cfRule>
  </conditionalFormatting>
  <conditionalFormatting sqref="AD246">
    <cfRule type="cellIs" dxfId="0" priority="62" operator="equal">
      <formula>"未完成"</formula>
    </cfRule>
    <cfRule type="cellIs" dxfId="1" priority="55" operator="equal">
      <formula>"未完成"</formula>
    </cfRule>
  </conditionalFormatting>
  <conditionalFormatting sqref="AE246">
    <cfRule type="cellIs" dxfId="0" priority="153" operator="equal">
      <formula>"未完成"</formula>
    </cfRule>
    <cfRule type="cellIs" dxfId="1" priority="146" operator="equal">
      <formula>"未完成"</formula>
    </cfRule>
  </conditionalFormatting>
  <conditionalFormatting sqref="AF246">
    <cfRule type="cellIs" dxfId="0" priority="90" operator="equal">
      <formula>"未完成"</formula>
    </cfRule>
    <cfRule type="cellIs" dxfId="1" priority="83" operator="equal">
      <formula>"未完成"</formula>
    </cfRule>
  </conditionalFormatting>
  <conditionalFormatting sqref="AG246:AH246">
    <cfRule type="cellIs" dxfId="0" priority="76" operator="equal">
      <formula>"未完成"</formula>
    </cfRule>
    <cfRule type="cellIs" dxfId="1" priority="69" operator="equal">
      <formula>"未完成"</formula>
    </cfRule>
  </conditionalFormatting>
  <conditionalFormatting sqref="AI246">
    <cfRule type="cellIs" dxfId="0" priority="139" operator="equal">
      <formula>"未完成"</formula>
    </cfRule>
    <cfRule type="cellIs" dxfId="1" priority="132" operator="equal">
      <formula>"未完成"</formula>
    </cfRule>
  </conditionalFormatting>
  <conditionalFormatting sqref="AJ246">
    <cfRule type="cellIs" dxfId="0" priority="118" operator="equal">
      <formula>"未完成"</formula>
    </cfRule>
    <cfRule type="cellIs" dxfId="1" priority="111" operator="equal">
      <formula>"未完成"</formula>
    </cfRule>
  </conditionalFormatting>
  <conditionalFormatting sqref="AM246">
    <cfRule type="cellIs" dxfId="0" priority="104" operator="equal">
      <formula>"未完成"</formula>
    </cfRule>
    <cfRule type="cellIs" dxfId="1" priority="97" operator="equal">
      <formula>"未完成"</formula>
    </cfRule>
  </conditionalFormatting>
  <conditionalFormatting sqref="AR246">
    <cfRule type="cellIs" dxfId="0" priority="34" operator="equal">
      <formula>"未完成"</formula>
    </cfRule>
    <cfRule type="cellIs" dxfId="1" priority="27" operator="equal">
      <formula>"未完成"</formula>
    </cfRule>
  </conditionalFormatting>
  <conditionalFormatting sqref="R247">
    <cfRule type="cellIs" dxfId="0" priority="19" operator="equal">
      <formula>"欠"</formula>
    </cfRule>
  </conditionalFormatting>
  <conditionalFormatting sqref="S247">
    <cfRule type="cellIs" dxfId="0" priority="124" operator="equal">
      <formula>"欠"</formula>
    </cfRule>
  </conditionalFormatting>
  <conditionalFormatting sqref="T247">
    <cfRule type="cellIs" dxfId="0" priority="12" operator="equal">
      <formula>"欠"</formula>
    </cfRule>
    <cfRule type="containsText" dxfId="2" priority="5" operator="between" text="欠">
      <formula>NOT(ISERROR(SEARCH("欠",T247)))</formula>
    </cfRule>
  </conditionalFormatting>
  <conditionalFormatting sqref="AC247">
    <cfRule type="cellIs" dxfId="1" priority="47" operator="equal">
      <formula>"未完成"</formula>
    </cfRule>
    <cfRule type="cellIs" dxfId="0" priority="40" operator="equal">
      <formula>"未完成"</formula>
    </cfRule>
  </conditionalFormatting>
  <conditionalFormatting sqref="AD247">
    <cfRule type="cellIs" dxfId="0" priority="61" operator="equal">
      <formula>"未完成"</formula>
    </cfRule>
    <cfRule type="cellIs" dxfId="1" priority="54" operator="equal">
      <formula>"未完成"</formula>
    </cfRule>
  </conditionalFormatting>
  <conditionalFormatting sqref="AE247">
    <cfRule type="cellIs" dxfId="0" priority="152" operator="equal">
      <formula>"未完成"</formula>
    </cfRule>
    <cfRule type="cellIs" dxfId="1" priority="145" operator="equal">
      <formula>"未完成"</formula>
    </cfRule>
  </conditionalFormatting>
  <conditionalFormatting sqref="AF247">
    <cfRule type="cellIs" dxfId="0" priority="89" operator="equal">
      <formula>"未完成"</formula>
    </cfRule>
    <cfRule type="cellIs" dxfId="1" priority="82" operator="equal">
      <formula>"未完成"</formula>
    </cfRule>
  </conditionalFormatting>
  <conditionalFormatting sqref="AG247:AH247">
    <cfRule type="cellIs" dxfId="0" priority="75" operator="equal">
      <formula>"未完成"</formula>
    </cfRule>
    <cfRule type="cellIs" dxfId="1" priority="68" operator="equal">
      <formula>"未完成"</formula>
    </cfRule>
  </conditionalFormatting>
  <conditionalFormatting sqref="AI247">
    <cfRule type="cellIs" dxfId="0" priority="138" operator="equal">
      <formula>"未完成"</formula>
    </cfRule>
    <cfRule type="cellIs" dxfId="1" priority="131" operator="equal">
      <formula>"未完成"</formula>
    </cfRule>
  </conditionalFormatting>
  <conditionalFormatting sqref="AJ247">
    <cfRule type="cellIs" dxfId="0" priority="117" operator="equal">
      <formula>"未完成"</formula>
    </cfRule>
    <cfRule type="cellIs" dxfId="1" priority="110" operator="equal">
      <formula>"未完成"</formula>
    </cfRule>
  </conditionalFormatting>
  <conditionalFormatting sqref="AM247">
    <cfRule type="cellIs" dxfId="0" priority="103" operator="equal">
      <formula>"未完成"</formula>
    </cfRule>
    <cfRule type="cellIs" dxfId="1" priority="96" operator="equal">
      <formula>"未完成"</formula>
    </cfRule>
  </conditionalFormatting>
  <conditionalFormatting sqref="AR247">
    <cfRule type="cellIs" dxfId="0" priority="33" operator="equal">
      <formula>"未完成"</formula>
    </cfRule>
    <cfRule type="cellIs" dxfId="1" priority="26" operator="equal">
      <formula>"未完成"</formula>
    </cfRule>
  </conditionalFormatting>
  <conditionalFormatting sqref="R248">
    <cfRule type="cellIs" dxfId="0" priority="18" operator="equal">
      <formula>"欠"</formula>
    </cfRule>
  </conditionalFormatting>
  <conditionalFormatting sqref="S248">
    <cfRule type="cellIs" dxfId="0" priority="123" operator="equal">
      <formula>"欠"</formula>
    </cfRule>
  </conditionalFormatting>
  <conditionalFormatting sqref="T248">
    <cfRule type="cellIs" dxfId="0" priority="11" operator="equal">
      <formula>"欠"</formula>
    </cfRule>
    <cfRule type="containsText" dxfId="2" priority="4" operator="between" text="欠">
      <formula>NOT(ISERROR(SEARCH("欠",T248)))</formula>
    </cfRule>
  </conditionalFormatting>
  <conditionalFormatting sqref="AC248">
    <cfRule type="cellIs" dxfId="1" priority="46" operator="equal">
      <formula>"未完成"</formula>
    </cfRule>
    <cfRule type="cellIs" dxfId="0" priority="39" operator="equal">
      <formula>"未完成"</formula>
    </cfRule>
  </conditionalFormatting>
  <conditionalFormatting sqref="AD248">
    <cfRule type="cellIs" dxfId="0" priority="60" operator="equal">
      <formula>"未完成"</formula>
    </cfRule>
    <cfRule type="cellIs" dxfId="1" priority="53" operator="equal">
      <formula>"未完成"</formula>
    </cfRule>
  </conditionalFormatting>
  <conditionalFormatting sqref="AE248">
    <cfRule type="cellIs" dxfId="0" priority="151" operator="equal">
      <formula>"未完成"</formula>
    </cfRule>
    <cfRule type="cellIs" dxfId="1" priority="144" operator="equal">
      <formula>"未完成"</formula>
    </cfRule>
  </conditionalFormatting>
  <conditionalFormatting sqref="AF248">
    <cfRule type="cellIs" dxfId="0" priority="88" operator="equal">
      <formula>"未完成"</formula>
    </cfRule>
    <cfRule type="cellIs" dxfId="1" priority="81" operator="equal">
      <formula>"未完成"</formula>
    </cfRule>
  </conditionalFormatting>
  <conditionalFormatting sqref="AG248:AH248">
    <cfRule type="cellIs" dxfId="0" priority="74" operator="equal">
      <formula>"未完成"</formula>
    </cfRule>
    <cfRule type="cellIs" dxfId="1" priority="67" operator="equal">
      <formula>"未完成"</formula>
    </cfRule>
  </conditionalFormatting>
  <conditionalFormatting sqref="AI248">
    <cfRule type="cellIs" dxfId="0" priority="137" operator="equal">
      <formula>"未完成"</formula>
    </cfRule>
    <cfRule type="cellIs" dxfId="1" priority="130" operator="equal">
      <formula>"未完成"</formula>
    </cfRule>
  </conditionalFormatting>
  <conditionalFormatting sqref="AJ248">
    <cfRule type="cellIs" dxfId="0" priority="116" operator="equal">
      <formula>"未完成"</formula>
    </cfRule>
    <cfRule type="cellIs" dxfId="1" priority="109" operator="equal">
      <formula>"未完成"</formula>
    </cfRule>
  </conditionalFormatting>
  <conditionalFormatting sqref="AM248">
    <cfRule type="cellIs" dxfId="0" priority="102" operator="equal">
      <formula>"未完成"</formula>
    </cfRule>
    <cfRule type="cellIs" dxfId="1" priority="95" operator="equal">
      <formula>"未完成"</formula>
    </cfRule>
  </conditionalFormatting>
  <conditionalFormatting sqref="AR248">
    <cfRule type="cellIs" dxfId="0" priority="32" operator="equal">
      <formula>"未完成"</formula>
    </cfRule>
    <cfRule type="cellIs" dxfId="1" priority="25" operator="equal">
      <formula>"未完成"</formula>
    </cfRule>
  </conditionalFormatting>
  <conditionalFormatting sqref="R249">
    <cfRule type="cellIs" dxfId="0" priority="17" operator="equal">
      <formula>"欠"</formula>
    </cfRule>
  </conditionalFormatting>
  <conditionalFormatting sqref="S249">
    <cfRule type="cellIs" dxfId="0" priority="122" operator="equal">
      <formula>"欠"</formula>
    </cfRule>
  </conditionalFormatting>
  <conditionalFormatting sqref="T249">
    <cfRule type="cellIs" dxfId="0" priority="10" operator="equal">
      <formula>"欠"</formula>
    </cfRule>
    <cfRule type="containsText" dxfId="2" priority="3" operator="between" text="欠">
      <formula>NOT(ISERROR(SEARCH("欠",T249)))</formula>
    </cfRule>
  </conditionalFormatting>
  <conditionalFormatting sqref="AC249">
    <cfRule type="cellIs" dxfId="1" priority="45" operator="equal">
      <formula>"未完成"</formula>
    </cfRule>
    <cfRule type="cellIs" dxfId="0" priority="38" operator="equal">
      <formula>"未完成"</formula>
    </cfRule>
  </conditionalFormatting>
  <conditionalFormatting sqref="AD249">
    <cfRule type="cellIs" dxfId="0" priority="59" operator="equal">
      <formula>"未完成"</formula>
    </cfRule>
    <cfRule type="cellIs" dxfId="1" priority="52" operator="equal">
      <formula>"未完成"</formula>
    </cfRule>
  </conditionalFormatting>
  <conditionalFormatting sqref="AE249">
    <cfRule type="cellIs" dxfId="0" priority="150" operator="equal">
      <formula>"未完成"</formula>
    </cfRule>
    <cfRule type="cellIs" dxfId="1" priority="143" operator="equal">
      <formula>"未完成"</formula>
    </cfRule>
  </conditionalFormatting>
  <conditionalFormatting sqref="AF249">
    <cfRule type="cellIs" dxfId="0" priority="87" operator="equal">
      <formula>"未完成"</formula>
    </cfRule>
    <cfRule type="cellIs" dxfId="1" priority="80" operator="equal">
      <formula>"未完成"</formula>
    </cfRule>
  </conditionalFormatting>
  <conditionalFormatting sqref="AG249:AH249">
    <cfRule type="cellIs" dxfId="0" priority="73" operator="equal">
      <formula>"未完成"</formula>
    </cfRule>
    <cfRule type="cellIs" dxfId="1" priority="66" operator="equal">
      <formula>"未完成"</formula>
    </cfRule>
  </conditionalFormatting>
  <conditionalFormatting sqref="AI249">
    <cfRule type="cellIs" dxfId="0" priority="136" operator="equal">
      <formula>"未完成"</formula>
    </cfRule>
    <cfRule type="cellIs" dxfId="1" priority="129" operator="equal">
      <formula>"未完成"</formula>
    </cfRule>
  </conditionalFormatting>
  <conditionalFormatting sqref="AJ249">
    <cfRule type="cellIs" dxfId="0" priority="115" operator="equal">
      <formula>"未完成"</formula>
    </cfRule>
    <cfRule type="cellIs" dxfId="1" priority="108" operator="equal">
      <formula>"未完成"</formula>
    </cfRule>
  </conditionalFormatting>
  <conditionalFormatting sqref="AM249">
    <cfRule type="cellIs" dxfId="0" priority="101" operator="equal">
      <formula>"未完成"</formula>
    </cfRule>
    <cfRule type="cellIs" dxfId="1" priority="94" operator="equal">
      <formula>"未完成"</formula>
    </cfRule>
  </conditionalFormatting>
  <conditionalFormatting sqref="AR249">
    <cfRule type="cellIs" dxfId="0" priority="31" operator="equal">
      <formula>"未完成"</formula>
    </cfRule>
    <cfRule type="cellIs" dxfId="1" priority="24" operator="equal">
      <formula>"未完成"</formula>
    </cfRule>
  </conditionalFormatting>
  <conditionalFormatting sqref="R250">
    <cfRule type="cellIs" dxfId="0" priority="16" operator="equal">
      <formula>"欠"</formula>
    </cfRule>
  </conditionalFormatting>
  <conditionalFormatting sqref="S250">
    <cfRule type="cellIs" dxfId="0" priority="121" operator="equal">
      <formula>"欠"</formula>
    </cfRule>
  </conditionalFormatting>
  <conditionalFormatting sqref="T250">
    <cfRule type="cellIs" dxfId="0" priority="9" operator="equal">
      <formula>"欠"</formula>
    </cfRule>
    <cfRule type="containsText" dxfId="2" priority="2" operator="between" text="欠">
      <formula>NOT(ISERROR(SEARCH("欠",T250)))</formula>
    </cfRule>
  </conditionalFormatting>
  <conditionalFormatting sqref="AC250">
    <cfRule type="cellIs" dxfId="1" priority="44" operator="equal">
      <formula>"未完成"</formula>
    </cfRule>
    <cfRule type="cellIs" dxfId="0" priority="37" operator="equal">
      <formula>"未完成"</formula>
    </cfRule>
  </conditionalFormatting>
  <conditionalFormatting sqref="AD250">
    <cfRule type="cellIs" dxfId="0" priority="58" operator="equal">
      <formula>"未完成"</formula>
    </cfRule>
    <cfRule type="cellIs" dxfId="1" priority="51" operator="equal">
      <formula>"未完成"</formula>
    </cfRule>
  </conditionalFormatting>
  <conditionalFormatting sqref="AE250">
    <cfRule type="cellIs" dxfId="0" priority="149" operator="equal">
      <formula>"未完成"</formula>
    </cfRule>
    <cfRule type="cellIs" dxfId="1" priority="142" operator="equal">
      <formula>"未完成"</formula>
    </cfRule>
  </conditionalFormatting>
  <conditionalFormatting sqref="AF250">
    <cfRule type="cellIs" dxfId="0" priority="86" operator="equal">
      <formula>"未完成"</formula>
    </cfRule>
    <cfRule type="cellIs" dxfId="1" priority="79" operator="equal">
      <formula>"未完成"</formula>
    </cfRule>
  </conditionalFormatting>
  <conditionalFormatting sqref="AG250:AH250">
    <cfRule type="cellIs" dxfId="0" priority="72" operator="equal">
      <formula>"未完成"</formula>
    </cfRule>
    <cfRule type="cellIs" dxfId="1" priority="65" operator="equal">
      <formula>"未完成"</formula>
    </cfRule>
  </conditionalFormatting>
  <conditionalFormatting sqref="AI250">
    <cfRule type="cellIs" dxfId="0" priority="135" operator="equal">
      <formula>"未完成"</formula>
    </cfRule>
    <cfRule type="cellIs" dxfId="1" priority="128" operator="equal">
      <formula>"未完成"</formula>
    </cfRule>
  </conditionalFormatting>
  <conditionalFormatting sqref="AJ250">
    <cfRule type="cellIs" dxfId="0" priority="114" operator="equal">
      <formula>"未完成"</formula>
    </cfRule>
    <cfRule type="cellIs" dxfId="1" priority="107" operator="equal">
      <formula>"未完成"</formula>
    </cfRule>
  </conditionalFormatting>
  <conditionalFormatting sqref="AM250">
    <cfRule type="cellIs" dxfId="0" priority="100" operator="equal">
      <formula>"未完成"</formula>
    </cfRule>
    <cfRule type="cellIs" dxfId="1" priority="93" operator="equal">
      <formula>"未完成"</formula>
    </cfRule>
  </conditionalFormatting>
  <conditionalFormatting sqref="AR250">
    <cfRule type="cellIs" dxfId="0" priority="30" operator="equal">
      <formula>"未完成"</formula>
    </cfRule>
    <cfRule type="cellIs" dxfId="1" priority="23" operator="equal">
      <formula>"未完成"</formula>
    </cfRule>
  </conditionalFormatting>
  <conditionalFormatting sqref="R251">
    <cfRule type="cellIs" dxfId="0" priority="15" operator="equal">
      <formula>"欠"</formula>
    </cfRule>
  </conditionalFormatting>
  <conditionalFormatting sqref="S251">
    <cfRule type="cellIs" dxfId="0" priority="120" operator="equal">
      <formula>"欠"</formula>
    </cfRule>
  </conditionalFormatting>
  <conditionalFormatting sqref="T251">
    <cfRule type="cellIs" dxfId="0" priority="8" operator="equal">
      <formula>"欠"</formula>
    </cfRule>
    <cfRule type="containsText" dxfId="2" priority="1" operator="between" text="欠">
      <formula>NOT(ISERROR(SEARCH("欠",T251)))</formula>
    </cfRule>
  </conditionalFormatting>
  <conditionalFormatting sqref="AC251">
    <cfRule type="cellIs" dxfId="1" priority="43" operator="equal">
      <formula>"未完成"</formula>
    </cfRule>
    <cfRule type="cellIs" dxfId="0" priority="36" operator="equal">
      <formula>"未完成"</formula>
    </cfRule>
  </conditionalFormatting>
  <conditionalFormatting sqref="AD251">
    <cfRule type="cellIs" dxfId="0" priority="57" operator="equal">
      <formula>"未完成"</formula>
    </cfRule>
    <cfRule type="cellIs" dxfId="1" priority="50" operator="equal">
      <formula>"未完成"</formula>
    </cfRule>
  </conditionalFormatting>
  <conditionalFormatting sqref="AE251">
    <cfRule type="cellIs" dxfId="0" priority="148" operator="equal">
      <formula>"未完成"</formula>
    </cfRule>
    <cfRule type="cellIs" dxfId="1" priority="141" operator="equal">
      <formula>"未完成"</formula>
    </cfRule>
  </conditionalFormatting>
  <conditionalFormatting sqref="AF251">
    <cfRule type="cellIs" dxfId="0" priority="85" operator="equal">
      <formula>"未完成"</formula>
    </cfRule>
    <cfRule type="cellIs" dxfId="1" priority="78" operator="equal">
      <formula>"未完成"</formula>
    </cfRule>
  </conditionalFormatting>
  <conditionalFormatting sqref="AG251:AH251">
    <cfRule type="cellIs" dxfId="0" priority="71" operator="equal">
      <formula>"未完成"</formula>
    </cfRule>
    <cfRule type="cellIs" dxfId="1" priority="64" operator="equal">
      <formula>"未完成"</formula>
    </cfRule>
  </conditionalFormatting>
  <conditionalFormatting sqref="AI251">
    <cfRule type="cellIs" dxfId="0" priority="134" operator="equal">
      <formula>"未完成"</formula>
    </cfRule>
    <cfRule type="cellIs" dxfId="1" priority="127" operator="equal">
      <formula>"未完成"</formula>
    </cfRule>
  </conditionalFormatting>
  <conditionalFormatting sqref="AJ251">
    <cfRule type="cellIs" dxfId="0" priority="113" operator="equal">
      <formula>"未完成"</formula>
    </cfRule>
    <cfRule type="cellIs" dxfId="1" priority="106" operator="equal">
      <formula>"未完成"</formula>
    </cfRule>
  </conditionalFormatting>
  <conditionalFormatting sqref="AM251">
    <cfRule type="cellIs" dxfId="0" priority="99" operator="equal">
      <formula>"未完成"</formula>
    </cfRule>
    <cfRule type="cellIs" dxfId="1" priority="92" operator="equal">
      <formula>"未完成"</formula>
    </cfRule>
  </conditionalFormatting>
  <conditionalFormatting sqref="AR251">
    <cfRule type="cellIs" dxfId="0" priority="29" operator="equal">
      <formula>"未完成"</formula>
    </cfRule>
    <cfRule type="cellIs" dxfId="1" priority="22" operator="equal">
      <formula>"未完成"</formula>
    </cfRule>
  </conditionalFormatting>
  <conditionalFormatting sqref="R252">
    <cfRule type="cellIs" dxfId="0" priority="165" operator="equal">
      <formula>"欠"</formula>
    </cfRule>
  </conditionalFormatting>
  <conditionalFormatting sqref="S252">
    <cfRule type="cellIs" dxfId="0" priority="180" operator="equal">
      <formula>"欠"</formula>
    </cfRule>
  </conditionalFormatting>
  <conditionalFormatting sqref="T252">
    <cfRule type="containsText" dxfId="2" priority="163" operator="between" text="欠">
      <formula>NOT(ISERROR(SEARCH("欠",T252)))</formula>
    </cfRule>
    <cfRule type="cellIs" dxfId="0" priority="164" operator="equal">
      <formula>"欠"</formula>
    </cfRule>
  </conditionalFormatting>
  <conditionalFormatting sqref="AC252">
    <cfRule type="cellIs" dxfId="0" priority="168" operator="equal">
      <formula>"未完成"</formula>
    </cfRule>
    <cfRule type="cellIs" dxfId="1" priority="169" operator="equal">
      <formula>"未完成"</formula>
    </cfRule>
  </conditionalFormatting>
  <conditionalFormatting sqref="AD252">
    <cfRule type="cellIs" dxfId="1" priority="170" operator="equal">
      <formula>"未完成"</formula>
    </cfRule>
    <cfRule type="cellIs" dxfId="0" priority="171" operator="equal">
      <formula>"未完成"</formula>
    </cfRule>
  </conditionalFormatting>
  <conditionalFormatting sqref="AE252">
    <cfRule type="cellIs" dxfId="1" priority="183" operator="equal">
      <formula>"未完成"</formula>
    </cfRule>
    <cfRule type="cellIs" dxfId="0" priority="184" operator="equal">
      <formula>"未完成"</formula>
    </cfRule>
  </conditionalFormatting>
  <conditionalFormatting sqref="AF252">
    <cfRule type="cellIs" dxfId="1" priority="174" operator="equal">
      <formula>"未完成"</formula>
    </cfRule>
    <cfRule type="cellIs" dxfId="0" priority="175" operator="equal">
      <formula>"未完成"</formula>
    </cfRule>
  </conditionalFormatting>
  <conditionalFormatting sqref="AG252:AH252">
    <cfRule type="cellIs" dxfId="1" priority="172" operator="equal">
      <formula>"未完成"</formula>
    </cfRule>
    <cfRule type="cellIs" dxfId="0" priority="173" operator="equal">
      <formula>"未完成"</formula>
    </cfRule>
  </conditionalFormatting>
  <conditionalFormatting sqref="AI252">
    <cfRule type="cellIs" dxfId="1" priority="181" operator="equal">
      <formula>"未完成"</formula>
    </cfRule>
    <cfRule type="cellIs" dxfId="0" priority="182" operator="equal">
      <formula>"未完成"</formula>
    </cfRule>
  </conditionalFormatting>
  <conditionalFormatting sqref="AR252">
    <cfRule type="cellIs" dxfId="1" priority="166" operator="equal">
      <formula>"未完成"</formula>
    </cfRule>
    <cfRule type="cellIs" dxfId="0" priority="167" operator="equal">
      <formula>"未完成"</formula>
    </cfRule>
  </conditionalFormatting>
  <conditionalFormatting sqref="AC253">
    <cfRule type="cellIs" dxfId="0" priority="374" operator="equal">
      <formula>"未完成"</formula>
    </cfRule>
    <cfRule type="cellIs" dxfId="1" priority="377" operator="equal">
      <formula>"未完成"</formula>
    </cfRule>
  </conditionalFormatting>
  <conditionalFormatting sqref="AD253">
    <cfRule type="cellIs" dxfId="1" priority="380" operator="equal">
      <formula>"未完成"</formula>
    </cfRule>
    <cfRule type="cellIs" dxfId="0" priority="383" operator="equal">
      <formula>"未完成"</formula>
    </cfRule>
  </conditionalFormatting>
  <conditionalFormatting sqref="AF253">
    <cfRule type="cellIs" dxfId="1" priority="392" operator="equal">
      <formula>"未完成"</formula>
    </cfRule>
    <cfRule type="cellIs" dxfId="0" priority="395" operator="equal">
      <formula>"未完成"</formula>
    </cfRule>
  </conditionalFormatting>
  <conditionalFormatting sqref="AG253:AH253">
    <cfRule type="cellIs" dxfId="1" priority="386" operator="equal">
      <formula>"未完成"</formula>
    </cfRule>
    <cfRule type="cellIs" dxfId="0" priority="389" operator="equal">
      <formula>"未完成"</formula>
    </cfRule>
  </conditionalFormatting>
  <conditionalFormatting sqref="AI253">
    <cfRule type="cellIs" dxfId="1" priority="368" operator="equal">
      <formula>"未完成"</formula>
    </cfRule>
    <cfRule type="cellIs" dxfId="0" priority="371" operator="equal">
      <formula>"未完成"</formula>
    </cfRule>
  </conditionalFormatting>
  <conditionalFormatting sqref="AJ253">
    <cfRule type="cellIs" dxfId="1" priority="362" operator="equal">
      <formula>"未完成"</formula>
    </cfRule>
    <cfRule type="cellIs" dxfId="0" priority="365" operator="equal">
      <formula>"未完成"</formula>
    </cfRule>
  </conditionalFormatting>
  <conditionalFormatting sqref="AK253">
    <cfRule type="cellIs" dxfId="1" priority="341" operator="equal">
      <formula>"未完成"</formula>
    </cfRule>
    <cfRule type="cellIs" dxfId="0" priority="344" operator="equal">
      <formula>"未完成"</formula>
    </cfRule>
  </conditionalFormatting>
  <conditionalFormatting sqref="AR253">
    <cfRule type="cellIs" dxfId="1" priority="356" operator="equal">
      <formula>"未完成"</formula>
    </cfRule>
    <cfRule type="cellIs" dxfId="0" priority="359" operator="equal">
      <formula>"未完成"</formula>
    </cfRule>
  </conditionalFormatting>
  <conditionalFormatting sqref="AC254">
    <cfRule type="cellIs" dxfId="0" priority="373" operator="equal">
      <formula>"未完成"</formula>
    </cfRule>
    <cfRule type="cellIs" dxfId="1" priority="376" operator="equal">
      <formula>"未完成"</formula>
    </cfRule>
  </conditionalFormatting>
  <conditionalFormatting sqref="AD254">
    <cfRule type="cellIs" dxfId="1" priority="379" operator="equal">
      <formula>"未完成"</formula>
    </cfRule>
    <cfRule type="cellIs" dxfId="0" priority="382" operator="equal">
      <formula>"未完成"</formula>
    </cfRule>
  </conditionalFormatting>
  <conditionalFormatting sqref="AF254">
    <cfRule type="cellIs" dxfId="1" priority="391" operator="equal">
      <formula>"未完成"</formula>
    </cfRule>
    <cfRule type="cellIs" dxfId="0" priority="394" operator="equal">
      <formula>"未完成"</formula>
    </cfRule>
  </conditionalFormatting>
  <conditionalFormatting sqref="AG254:AH254">
    <cfRule type="cellIs" dxfId="1" priority="385" operator="equal">
      <formula>"未完成"</formula>
    </cfRule>
    <cfRule type="cellIs" dxfId="0" priority="388" operator="equal">
      <formula>"未完成"</formula>
    </cfRule>
  </conditionalFormatting>
  <conditionalFormatting sqref="AI254">
    <cfRule type="cellIs" dxfId="1" priority="367" operator="equal">
      <formula>"未完成"</formula>
    </cfRule>
    <cfRule type="cellIs" dxfId="0" priority="370" operator="equal">
      <formula>"未完成"</formula>
    </cfRule>
  </conditionalFormatting>
  <conditionalFormatting sqref="AJ254">
    <cfRule type="cellIs" dxfId="1" priority="361" operator="equal">
      <formula>"未完成"</formula>
    </cfRule>
    <cfRule type="cellIs" dxfId="0" priority="364" operator="equal">
      <formula>"未完成"</formula>
    </cfRule>
  </conditionalFormatting>
  <conditionalFormatting sqref="AK254">
    <cfRule type="cellIs" dxfId="1" priority="340" operator="equal">
      <formula>"未完成"</formula>
    </cfRule>
    <cfRule type="cellIs" dxfId="0" priority="343" operator="equal">
      <formula>"未完成"</formula>
    </cfRule>
  </conditionalFormatting>
  <conditionalFormatting sqref="AR254">
    <cfRule type="cellIs" dxfId="1" priority="355" operator="equal">
      <formula>"未完成"</formula>
    </cfRule>
    <cfRule type="cellIs" dxfId="0" priority="358" operator="equal">
      <formula>"未完成"</formula>
    </cfRule>
  </conditionalFormatting>
  <conditionalFormatting sqref="AC255">
    <cfRule type="cellIs" dxfId="0" priority="372" operator="equal">
      <formula>"未完成"</formula>
    </cfRule>
    <cfRule type="cellIs" dxfId="1" priority="375" operator="equal">
      <formula>"未完成"</formula>
    </cfRule>
  </conditionalFormatting>
  <conditionalFormatting sqref="AD255">
    <cfRule type="cellIs" dxfId="1" priority="378" operator="equal">
      <formula>"未完成"</formula>
    </cfRule>
    <cfRule type="cellIs" dxfId="0" priority="381" operator="equal">
      <formula>"未完成"</formula>
    </cfRule>
  </conditionalFormatting>
  <conditionalFormatting sqref="AF255">
    <cfRule type="cellIs" dxfId="1" priority="390" operator="equal">
      <formula>"未完成"</formula>
    </cfRule>
    <cfRule type="cellIs" dxfId="0" priority="393" operator="equal">
      <formula>"未完成"</formula>
    </cfRule>
  </conditionalFormatting>
  <conditionalFormatting sqref="AG255:AH255">
    <cfRule type="cellIs" dxfId="1" priority="384" operator="equal">
      <formula>"未完成"</formula>
    </cfRule>
    <cfRule type="cellIs" dxfId="0" priority="387" operator="equal">
      <formula>"未完成"</formula>
    </cfRule>
  </conditionalFormatting>
  <conditionalFormatting sqref="AI255">
    <cfRule type="cellIs" dxfId="1" priority="366" operator="equal">
      <formula>"未完成"</formula>
    </cfRule>
    <cfRule type="cellIs" dxfId="0" priority="369" operator="equal">
      <formula>"未完成"</formula>
    </cfRule>
  </conditionalFormatting>
  <conditionalFormatting sqref="AJ255">
    <cfRule type="cellIs" dxfId="1" priority="360" operator="equal">
      <formula>"未完成"</formula>
    </cfRule>
    <cfRule type="cellIs" dxfId="0" priority="363" operator="equal">
      <formula>"未完成"</formula>
    </cfRule>
  </conditionalFormatting>
  <conditionalFormatting sqref="AK255">
    <cfRule type="cellIs" dxfId="1" priority="339" operator="equal">
      <formula>"未完成"</formula>
    </cfRule>
    <cfRule type="cellIs" dxfId="0" priority="342" operator="equal">
      <formula>"未完成"</formula>
    </cfRule>
  </conditionalFormatting>
  <conditionalFormatting sqref="AR255">
    <cfRule type="cellIs" dxfId="1" priority="354" operator="equal">
      <formula>"未完成"</formula>
    </cfRule>
    <cfRule type="cellIs" dxfId="0" priority="357" operator="equal">
      <formula>"未完成"</formula>
    </cfRule>
  </conditionalFormatting>
  <conditionalFormatting sqref="S256">
    <cfRule type="cellIs" dxfId="0" priority="412" operator="equal">
      <formula>"欠"</formula>
    </cfRule>
  </conditionalFormatting>
  <conditionalFormatting sqref="T256">
    <cfRule type="containsText" dxfId="2" priority="411" operator="between" text="欠">
      <formula>NOT(ISERROR(SEARCH("欠",T256)))</formula>
    </cfRule>
  </conditionalFormatting>
  <conditionalFormatting sqref="AC256">
    <cfRule type="cellIs" dxfId="0" priority="414" operator="equal">
      <formula>"未完成"</formula>
    </cfRule>
    <cfRule type="cellIs" dxfId="1" priority="415" operator="equal">
      <formula>"未完成"</formula>
    </cfRule>
  </conditionalFormatting>
  <conditionalFormatting sqref="AD256">
    <cfRule type="cellIs" dxfId="1" priority="416" operator="equal">
      <formula>"未完成"</formula>
    </cfRule>
    <cfRule type="cellIs" dxfId="0" priority="417" operator="equal">
      <formula>"未完成"</formula>
    </cfRule>
  </conditionalFormatting>
  <conditionalFormatting sqref="AE256:AF256">
    <cfRule type="cellIs" dxfId="1" priority="420" operator="equal">
      <formula>"未完成"</formula>
    </cfRule>
    <cfRule type="cellIs" dxfId="0" priority="421" operator="equal">
      <formula>"未完成"</formula>
    </cfRule>
  </conditionalFormatting>
  <conditionalFormatting sqref="AG256:AI256">
    <cfRule type="cellIs" dxfId="1" priority="418" operator="equal">
      <formula>"未完成"</formula>
    </cfRule>
    <cfRule type="cellIs" dxfId="0" priority="419" operator="equal">
      <formula>"未完成"</formula>
    </cfRule>
  </conditionalFormatting>
  <conditionalFormatting sqref="S258">
    <cfRule type="cellIs" dxfId="0" priority="5123" operator="equal">
      <formula>"欠"</formula>
    </cfRule>
  </conditionalFormatting>
  <conditionalFormatting sqref="S259">
    <cfRule type="cellIs" dxfId="0" priority="5105" operator="equal">
      <formula>"欠"</formula>
    </cfRule>
  </conditionalFormatting>
  <conditionalFormatting sqref="S261">
    <cfRule type="cellIs" dxfId="0" priority="5103" operator="equal">
      <formula>"欠"</formula>
    </cfRule>
  </conditionalFormatting>
  <conditionalFormatting sqref="R262">
    <cfRule type="cellIs" dxfId="0" priority="5112" operator="equal">
      <formula>"欠"</formula>
    </cfRule>
  </conditionalFormatting>
  <conditionalFormatting sqref="S262">
    <cfRule type="cellIs" dxfId="0" priority="5111" operator="equal">
      <formula>"欠"</formula>
    </cfRule>
  </conditionalFormatting>
  <conditionalFormatting sqref="T262">
    <cfRule type="cellIs" dxfId="0" priority="5110" operator="equal">
      <formula>"欠"</formula>
    </cfRule>
  </conditionalFormatting>
  <conditionalFormatting sqref="AC262">
    <cfRule type="cellIs" dxfId="0" priority="5113" operator="equal">
      <formula>"未完成"</formula>
    </cfRule>
    <cfRule type="cellIs" dxfId="1" priority="5114" operator="equal">
      <formula>"未完成"</formula>
    </cfRule>
  </conditionalFormatting>
  <conditionalFormatting sqref="AD262">
    <cfRule type="cellIs" dxfId="1" priority="5116" operator="equal">
      <formula>"未完成"</formula>
    </cfRule>
    <cfRule type="cellIs" dxfId="0" priority="5117" operator="equal">
      <formula>"未完成"</formula>
    </cfRule>
  </conditionalFormatting>
  <conditionalFormatting sqref="AE262:AF262">
    <cfRule type="cellIs" dxfId="1" priority="5120" operator="equal">
      <formula>"未完成"</formula>
    </cfRule>
    <cfRule type="cellIs" dxfId="0" priority="5121" operator="equal">
      <formula>"未完成"</formula>
    </cfRule>
  </conditionalFormatting>
  <conditionalFormatting sqref="AG262:AI262">
    <cfRule type="cellIs" dxfId="1" priority="5118" operator="equal">
      <formula>"未完成"</formula>
    </cfRule>
    <cfRule type="cellIs" dxfId="0" priority="5119" operator="equal">
      <formula>"未完成"</formula>
    </cfRule>
  </conditionalFormatting>
  <conditionalFormatting sqref="S263">
    <cfRule type="cellIs" dxfId="0" priority="5125" operator="equal">
      <formula>"欠"</formula>
    </cfRule>
  </conditionalFormatting>
  <conditionalFormatting sqref="AC264">
    <cfRule type="cellIs" dxfId="0" priority="5146" operator="equal">
      <formula>"未完成"</formula>
    </cfRule>
  </conditionalFormatting>
  <conditionalFormatting sqref="AC265">
    <cfRule type="cellIs" dxfId="0" priority="5145" operator="equal">
      <formula>"未完成"</formula>
    </cfRule>
  </conditionalFormatting>
  <conditionalFormatting sqref="S266">
    <cfRule type="cellIs" dxfId="0" priority="5140" operator="equal">
      <formula>"欠"</formula>
    </cfRule>
  </conditionalFormatting>
  <conditionalFormatting sqref="AC266">
    <cfRule type="cellIs" dxfId="0" priority="5144" operator="equal">
      <formula>"未完成"</formula>
    </cfRule>
  </conditionalFormatting>
  <conditionalFormatting sqref="R26:R28">
    <cfRule type="cellIs" dxfId="0" priority="2568" operator="equal">
      <formula>"欠"</formula>
    </cfRule>
  </conditionalFormatting>
  <conditionalFormatting sqref="R48:R49">
    <cfRule type="cellIs" dxfId="0" priority="2492" operator="equal">
      <formula>"欠"</formula>
    </cfRule>
  </conditionalFormatting>
  <conditionalFormatting sqref="R71:R72">
    <cfRule type="cellIs" dxfId="0" priority="2477" operator="equal">
      <formula>"欠"</formula>
    </cfRule>
  </conditionalFormatting>
  <conditionalFormatting sqref="R95:R96">
    <cfRule type="cellIs" dxfId="0" priority="2261" operator="equal">
      <formula>"欠"</formula>
    </cfRule>
  </conditionalFormatting>
  <conditionalFormatting sqref="R141:R142">
    <cfRule type="cellIs" dxfId="0" priority="2067" operator="equal">
      <formula>"欠"</formula>
    </cfRule>
  </conditionalFormatting>
  <conditionalFormatting sqref="R152:R153">
    <cfRule type="cellIs" dxfId="0" priority="2018" operator="equal">
      <formula>"欠"</formula>
    </cfRule>
  </conditionalFormatting>
  <conditionalFormatting sqref="R214:R216">
    <cfRule type="cellIs" dxfId="0" priority="1144" operator="equal">
      <formula>"欠"</formula>
    </cfRule>
  </conditionalFormatting>
  <conditionalFormatting sqref="R225:R226">
    <cfRule type="cellIs" dxfId="0" priority="1101" operator="equal">
      <formula>"欠"</formula>
    </cfRule>
  </conditionalFormatting>
  <conditionalFormatting sqref="R253:R255">
    <cfRule type="cellIs" dxfId="0" priority="398" operator="equal">
      <formula>"欠"</formula>
    </cfRule>
  </conditionalFormatting>
  <conditionalFormatting sqref="S82:S85">
    <cfRule type="cellIs" dxfId="0" priority="2279" operator="equal">
      <formula>"欠"</formula>
    </cfRule>
  </conditionalFormatting>
  <conditionalFormatting sqref="S95:S96">
    <cfRule type="cellIs" dxfId="0" priority="2238" operator="equal">
      <formula>"欠"</formula>
    </cfRule>
  </conditionalFormatting>
  <conditionalFormatting sqref="S129:S133">
    <cfRule type="cellIs" dxfId="0" priority="1988" operator="equal">
      <formula>"欠"</formula>
    </cfRule>
  </conditionalFormatting>
  <conditionalFormatting sqref="S152:S153">
    <cfRule type="cellIs" dxfId="0" priority="2061" operator="equal">
      <formula>"欠"</formula>
    </cfRule>
  </conditionalFormatting>
  <conditionalFormatting sqref="S214:S216">
    <cfRule type="cellIs" dxfId="0" priority="1129" operator="equal">
      <formula>"欠"</formula>
    </cfRule>
  </conditionalFormatting>
  <conditionalFormatting sqref="S253:S255">
    <cfRule type="cellIs" dxfId="0" priority="347" operator="equal">
      <formula>"欠"</formula>
    </cfRule>
  </conditionalFormatting>
  <conditionalFormatting sqref="S264:S265">
    <cfRule type="cellIs" dxfId="0" priority="5141" operator="equal">
      <formula>"欠"</formula>
    </cfRule>
  </conditionalFormatting>
  <conditionalFormatting sqref="S267:S284">
    <cfRule type="cellIs" dxfId="0" priority="5084" operator="equal">
      <formula>"欠"</formula>
    </cfRule>
  </conditionalFormatting>
  <conditionalFormatting sqref="T32:T33">
    <cfRule type="containsText" dxfId="2" priority="2586" operator="between" text="欠">
      <formula>NOT(ISERROR(SEARCH("欠",T32)))</formula>
    </cfRule>
    <cfRule type="cellIs" dxfId="0" priority="2588" operator="equal">
      <formula>"欠"</formula>
    </cfRule>
  </conditionalFormatting>
  <conditionalFormatting sqref="T48:T49">
    <cfRule type="cellIs" dxfId="0" priority="2443" operator="equal">
      <formula>"欠"</formula>
    </cfRule>
    <cfRule type="containsText" dxfId="2" priority="2444" operator="between" text="欠">
      <formula>NOT(ISERROR(SEARCH("欠",T48)))</formula>
    </cfRule>
  </conditionalFormatting>
  <conditionalFormatting sqref="T71:T72">
    <cfRule type="cellIs" dxfId="0" priority="2469" operator="equal">
      <formula>"欠"</formula>
    </cfRule>
  </conditionalFormatting>
  <conditionalFormatting sqref="T95:T96">
    <cfRule type="cellIs" dxfId="0" priority="2237" operator="equal">
      <formula>"欠"</formula>
    </cfRule>
  </conditionalFormatting>
  <conditionalFormatting sqref="T104:T105">
    <cfRule type="cellIs" dxfId="0" priority="2070" operator="equal">
      <formula>"欠"</formula>
    </cfRule>
  </conditionalFormatting>
  <conditionalFormatting sqref="T141:T142">
    <cfRule type="cellIs" dxfId="0" priority="2110" operator="equal">
      <formula>"欠"</formula>
    </cfRule>
    <cfRule type="containsText" dxfId="2" priority="2112" operator="between" text="欠">
      <formula>NOT(ISERROR(SEARCH("欠",T141)))</formula>
    </cfRule>
  </conditionalFormatting>
  <conditionalFormatting sqref="T152:T153">
    <cfRule type="cellIs" dxfId="0" priority="2017" operator="equal">
      <formula>"欠"</formula>
    </cfRule>
  </conditionalFormatting>
  <conditionalFormatting sqref="T163:T165">
    <cfRule type="containsText" dxfId="2" priority="1878" operator="between" text="欠">
      <formula>NOT(ISERROR(SEARCH("欠",T163)))</formula>
    </cfRule>
    <cfRule type="cellIs" dxfId="0" priority="1879" operator="equal">
      <formula>"欠"</formula>
    </cfRule>
  </conditionalFormatting>
  <conditionalFormatting sqref="T187:T188">
    <cfRule type="cellIs" dxfId="0" priority="1643" operator="equal">
      <formula>"欠"</formula>
    </cfRule>
  </conditionalFormatting>
  <conditionalFormatting sqref="T213:T216">
    <cfRule type="cellIs" dxfId="0" priority="633" operator="equal">
      <formula>"欠"</formula>
    </cfRule>
    <cfRule type="containsText" dxfId="2" priority="632" operator="between" text="欠">
      <formula>NOT(ISERROR(SEARCH("欠",T213)))</formula>
    </cfRule>
  </conditionalFormatting>
  <conditionalFormatting sqref="T253:T255">
    <cfRule type="containsText" dxfId="2" priority="350" operator="between" text="欠">
      <formula>NOT(ISERROR(SEARCH("欠",T253)))</formula>
    </cfRule>
    <cfRule type="cellIs" dxfId="0" priority="353" operator="equal">
      <formula>"欠"</formula>
    </cfRule>
  </conditionalFormatting>
  <conditionalFormatting sqref="AC99:AC101">
    <cfRule type="cellIs" dxfId="0" priority="2367" operator="equal">
      <formula>"未完成"</formula>
    </cfRule>
    <cfRule type="cellIs" dxfId="1" priority="2371" operator="equal">
      <formula>"未完成"</formula>
    </cfRule>
  </conditionalFormatting>
  <conditionalFormatting sqref="AC164:AC165">
    <cfRule type="cellIs" dxfId="0" priority="1897" operator="equal">
      <formula>"未完成"</formula>
    </cfRule>
    <cfRule type="cellIs" dxfId="1" priority="1898" operator="equal">
      <formula>"未完成"</formula>
    </cfRule>
  </conditionalFormatting>
  <conditionalFormatting sqref="AD10:AD13">
    <cfRule type="cellIs" dxfId="1" priority="2657" operator="equal">
      <formula>"未完成"</formula>
    </cfRule>
    <cfRule type="cellIs" dxfId="0" priority="2658" operator="equal">
      <formula>"未完成"</formula>
    </cfRule>
  </conditionalFormatting>
  <conditionalFormatting sqref="AD100:AD101">
    <cfRule type="cellIs" dxfId="1" priority="2379" operator="equal">
      <formula>"未完成"</formula>
    </cfRule>
    <cfRule type="cellIs" dxfId="0" priority="2383" operator="equal">
      <formula>"未完成"</formula>
    </cfRule>
  </conditionalFormatting>
  <conditionalFormatting sqref="AD129:AD133">
    <cfRule type="cellIs" dxfId="1" priority="2131" operator="equal">
      <formula>"未完成"</formula>
    </cfRule>
    <cfRule type="cellIs" dxfId="0" priority="2132" operator="equal">
      <formula>"未完成"</formula>
    </cfRule>
  </conditionalFormatting>
  <conditionalFormatting sqref="AE15:AE16">
    <cfRule type="cellIs" dxfId="1" priority="2630" operator="equal">
      <formula>"未完成"</formula>
    </cfRule>
    <cfRule type="cellIs" dxfId="0" priority="2631" operator="equal">
      <formula>"未完成"</formula>
    </cfRule>
  </conditionalFormatting>
  <conditionalFormatting sqref="AE95:AE96">
    <cfRule type="cellIs" dxfId="1" priority="2235" operator="equal">
      <formula>"未完成"</formula>
    </cfRule>
    <cfRule type="cellIs" dxfId="0" priority="2236" operator="equal">
      <formula>"未完成"</formula>
    </cfRule>
  </conditionalFormatting>
  <conditionalFormatting sqref="AF99:AF101">
    <cfRule type="cellIs" dxfId="1" priority="2395" operator="equal">
      <formula>"未完成"</formula>
    </cfRule>
    <cfRule type="cellIs" dxfId="0" priority="2399" operator="equal">
      <formula>"未完成"</formula>
    </cfRule>
  </conditionalFormatting>
  <conditionalFormatting sqref="AF164:AF165">
    <cfRule type="cellIs" dxfId="1" priority="1903" operator="equal">
      <formula>"未完成"</formula>
    </cfRule>
    <cfRule type="cellIs" dxfId="0" priority="1904" operator="equal">
      <formula>"未完成"</formula>
    </cfRule>
  </conditionalFormatting>
  <conditionalFormatting sqref="AG135:AG137">
    <cfRule type="cellIs" dxfId="1" priority="1782" operator="equal">
      <formula>"未完成"</formula>
    </cfRule>
    <cfRule type="cellIs" dxfId="0" priority="1783" operator="equal">
      <formula>"未完成"</formula>
    </cfRule>
  </conditionalFormatting>
  <conditionalFormatting sqref="AJ95:AJ96">
    <cfRule type="cellIs" dxfId="1" priority="2233" operator="equal">
      <formula>"未完成"</formula>
    </cfRule>
    <cfRule type="cellIs" dxfId="0" priority="2234" operator="equal">
      <formula>"未完成"</formula>
    </cfRule>
  </conditionalFormatting>
  <conditionalFormatting sqref="AJ99:AJ101">
    <cfRule type="cellIs" dxfId="1" priority="2359" operator="equal">
      <formula>"未完成"</formula>
    </cfRule>
    <cfRule type="cellIs" dxfId="0" priority="2363" operator="equal">
      <formula>"未完成"</formula>
    </cfRule>
  </conditionalFormatting>
  <conditionalFormatting sqref="AJ149:AJ151">
    <cfRule type="cellIs" dxfId="1" priority="2027" operator="equal">
      <formula>"未完成"</formula>
    </cfRule>
    <cfRule type="cellIs" dxfId="0" priority="2028" operator="equal">
      <formula>"未完成"</formula>
    </cfRule>
  </conditionalFormatting>
  <conditionalFormatting sqref="AJ221:AJ224">
    <cfRule type="cellIs" dxfId="1" priority="1227" operator="equal">
      <formula>"未完成"</formula>
    </cfRule>
    <cfRule type="cellIs" dxfId="0" priority="1228" operator="equal">
      <formula>"未完成"</formula>
    </cfRule>
  </conditionalFormatting>
  <conditionalFormatting sqref="AK214:AK216">
    <cfRule type="cellIs" dxfId="1" priority="659" operator="equal">
      <formula>"未完成"</formula>
    </cfRule>
    <cfRule type="cellIs" dxfId="0" priority="660" operator="equal">
      <formula>"未完成"</formula>
    </cfRule>
  </conditionalFormatting>
  <conditionalFormatting sqref="AM214:AM216">
    <cfRule type="cellIs" dxfId="1" priority="657" operator="equal">
      <formula>"未完成"</formula>
    </cfRule>
    <cfRule type="cellIs" dxfId="0" priority="658" operator="equal">
      <formula>"未完成"</formula>
    </cfRule>
  </conditionalFormatting>
  <conditionalFormatting sqref="AR152:AR153">
    <cfRule type="cellIs" dxfId="1" priority="2056" operator="equal">
      <formula>"未完成"</formula>
    </cfRule>
    <cfRule type="cellIs" dxfId="0" priority="2057" operator="equal">
      <formula>"未完成"</formula>
    </cfRule>
  </conditionalFormatting>
  <conditionalFormatting sqref="AR164:AR165">
    <cfRule type="cellIs" dxfId="1" priority="1883" operator="equal">
      <formula>"未完成"</formula>
    </cfRule>
    <cfRule type="cellIs" dxfId="0" priority="1884" operator="equal">
      <formula>"未完成"</formula>
    </cfRule>
  </conditionalFormatting>
  <conditionalFormatting sqref="AS141:AS142">
    <cfRule type="cellIs" dxfId="1" priority="2065" operator="equal">
      <formula>"未完成"</formula>
    </cfRule>
    <cfRule type="cellIs" dxfId="0" priority="2066" operator="equal">
      <formula>"未完成"</formula>
    </cfRule>
  </conditionalFormatting>
  <conditionalFormatting sqref="T1:T18 T42:T47 T20:T23 T25:T29 T34:T36 T50:T59 T38 T40 T118 T64:T67 T98:T101 T69 T109:T111 T82:T91 T79:T80 T93 T134 T125:T128 T147 T162 T186 T155:T156 T149:T151 T257:T285">
    <cfRule type="containsText" dxfId="2" priority="2627" operator="between" text="欠">
      <formula>NOT(ISERROR(SEARCH("欠",T1)))</formula>
    </cfRule>
  </conditionalFormatting>
  <conditionalFormatting sqref="AC1 AC267:AC285">
    <cfRule type="cellIs" dxfId="0" priority="5148" operator="equal">
      <formula>"未完成"</formula>
    </cfRule>
  </conditionalFormatting>
  <conditionalFormatting sqref="T2 R2">
    <cfRule type="cellIs" dxfId="0" priority="2664" operator="equal">
      <formula>"欠"</formula>
    </cfRule>
  </conditionalFormatting>
  <conditionalFormatting sqref="AE2:AF2 AE3:AE14 AE20:AE24 AE53 AE68 AE86 AE123">
    <cfRule type="cellIs" dxfId="1" priority="2672" operator="equal">
      <formula>"未完成"</formula>
    </cfRule>
    <cfRule type="cellIs" dxfId="0" priority="2673" operator="equal">
      <formula>"未完成"</formula>
    </cfRule>
  </conditionalFormatting>
  <conditionalFormatting sqref="AG2:AI2 AI3:AI57 AI59:AI90 AI92:AI97 AI100:AI101 AI104:AI118 AI120:AI128 AI134">
    <cfRule type="cellIs" dxfId="0" priority="2671" operator="equal">
      <formula>"未完成"</formula>
    </cfRule>
    <cfRule type="cellIs" dxfId="1" priority="2670" operator="equal">
      <formula>"未完成"</formula>
    </cfRule>
  </conditionalFormatting>
  <conditionalFormatting sqref="T3:T6 R3:R6 T20:T21">
    <cfRule type="cellIs" dxfId="0" priority="5128" operator="equal">
      <formula>"欠"</formula>
    </cfRule>
  </conditionalFormatting>
  <conditionalFormatting sqref="S3:S6 S20:S21">
    <cfRule type="cellIs" dxfId="0" priority="5127" operator="equal">
      <formula>"欠"</formula>
    </cfRule>
  </conditionalFormatting>
  <conditionalFormatting sqref="AC3:AC4 AC6 AC69 AC154:AC163 AC186 AC192:AC193 AC257:AC261 AC263">
    <cfRule type="cellIs" dxfId="0" priority="5129" operator="equal">
      <formula>"未完成"</formula>
    </cfRule>
    <cfRule type="cellIs" dxfId="1" priority="5130" operator="equal">
      <formula>"未完成"</formula>
    </cfRule>
  </conditionalFormatting>
  <conditionalFormatting sqref="AD3:AD4 AD6 AD69 AD154:AD163 AD186 AD192:AD193 AD257:AD261 AD263">
    <cfRule type="cellIs" dxfId="1" priority="5132" operator="equal">
      <formula>"未完成"</formula>
    </cfRule>
    <cfRule type="cellIs" dxfId="0" priority="5133" operator="equal">
      <formula>"未完成"</formula>
    </cfRule>
  </conditionalFormatting>
  <conditionalFormatting sqref="AF3:AF4 AF6 AF69 AF154:AF163 AF186 AF192:AF193 AE257:AF261 AE263:AF263">
    <cfRule type="cellIs" dxfId="1" priority="5136" operator="equal">
      <formula>"未完成"</formula>
    </cfRule>
    <cfRule type="cellIs" dxfId="0" priority="5137" operator="equal">
      <formula>"未完成"</formula>
    </cfRule>
  </conditionalFormatting>
  <conditionalFormatting sqref="AG6:AH6 AG3:AH4 AG69:AH69 AG157:AH163 AG186:AH186 AH155:AH156 AG154:AH154 AG192:AH192 AH193 AG263:AI263 AG257:AI261">
    <cfRule type="cellIs" dxfId="1" priority="5134" operator="equal">
      <formula>"未完成"</formula>
    </cfRule>
    <cfRule type="cellIs" dxfId="0" priority="5135" operator="equal">
      <formula>"未完成"</formula>
    </cfRule>
  </conditionalFormatting>
  <conditionalFormatting sqref="AG5:AH5 AD266:AF284 AD264:AF264 AG264:AI284">
    <cfRule type="cellIs" dxfId="1" priority="5151" operator="equal">
      <formula>"未完成"</formula>
    </cfRule>
    <cfRule type="cellIs" dxfId="0" priority="5152" operator="equal">
      <formula>"未完成"</formula>
    </cfRule>
  </conditionalFormatting>
  <conditionalFormatting sqref="T7:T9 R7:R9 T14 R20:R21 R23 R14 T43:T47 R43:R44 T58 T17 R50:R51 T34:T36 R34:R35 R17 T50:T52 R29 T23 T26:T29 T64 R79 T82:T86 T79:T80 T98:T101 T90:T91">
    <cfRule type="cellIs" dxfId="0" priority="2675" operator="equal">
      <formula>"欠"</formula>
    </cfRule>
  </conditionalFormatting>
  <conditionalFormatting sqref="S7:S19 S22:S23 S25:S31 S34:S36 S38 S43:S47 S50:S52 S64:S67 S69 S79:S80 S86:S89 S93 S97 S109:S111 S116 S118 S125:S128 S134 S147 S149:S151 S155:S160 S162 S188 S192 S198:S203 S205:S206 S209:S212 S217:S220 S227:S236 S238:S244">
    <cfRule type="cellIs" dxfId="0" priority="2674" operator="equal">
      <formula>"欠"</formula>
    </cfRule>
  </conditionalFormatting>
  <conditionalFormatting sqref="AC7:AC9 AC14:AC21 AC23 AC25:AC31 AC50:AC52 AC56:AC57 AC47 AC38 AC34:AC36 AC43:AC44 AC59:AC67 AC79:AC80 AC75 AC72 AC82:AC94 AC96">
    <cfRule type="cellIs" dxfId="0" priority="2676" operator="equal">
      <formula>"未完成"</formula>
    </cfRule>
    <cfRule type="cellIs" dxfId="1" priority="2677" operator="equal">
      <formula>"未完成"</formula>
    </cfRule>
  </conditionalFormatting>
  <conditionalFormatting sqref="AD7:AD9 AD14:AD21 AD25:AD31 AD60:AD67 AD47 AD43:AD44 AD38 AD34:AD36 AD56:AD57 AD50:AD52 AD79:AD80 AD75 AD82:AD85 AD87:AD94">
    <cfRule type="cellIs" dxfId="1" priority="2679" operator="equal">
      <formula>"未完成"</formula>
    </cfRule>
    <cfRule type="cellIs" dxfId="0" priority="2680" operator="equal">
      <formula>"未完成"</formula>
    </cfRule>
  </conditionalFormatting>
  <conditionalFormatting sqref="AF7:AF9 AF14:AF16 AE17:AF19 AF20:AF21 AF23 AE25:AF31 AE32:AE40 AE42:AE46 AE47:AF47 AE48:AE49 AE50:AF52 AE54:AE55 AE56:AF57 AE58 AE59:AF67 AE69:AE71 AE72:AF72 AE73:AE74 AE75:AF75 AE76:AE78 AE79:AF80 AE81 AE82:AF85 AF86 AE87:AF94 AF96 AE97:AE122 AE124:AE139 AE141:AE165 AE186:AE188 AE190:AE194 AE196:AE220 AE227:AE244">
    <cfRule type="cellIs" dxfId="1" priority="2683" operator="equal">
      <formula>"未完成"</formula>
    </cfRule>
    <cfRule type="cellIs" dxfId="0" priority="2684" operator="equal">
      <formula>"未完成"</formula>
    </cfRule>
  </conditionalFormatting>
  <conditionalFormatting sqref="AG7:AH9 AG14:AH16 AH17 AG18:AH21 AH63 AG59:AH62 AI58 AG56:AH57 AG34:AH36 AG38:AH38 AG47:AH47 AG50:AH52 AG23:AH23 AG43:AH44 AG25:AH31 AG64:AH67 AG75:AH75 AH96 AG79:AH80 AG92:AH94 AH72 AI129:AI133 AG86:AH90 AI119 AG91:AI91 AH83:AH85 AG82:AH82 AI135:AI151 AH134 AH152:AI153 AI154:AI165 AI207:AI211 AI186:AI188 AI192:AI193 AI217:AI220 AI227:AI228 AI236 AI243:AI244">
    <cfRule type="cellIs" dxfId="1" priority="2681" operator="equal">
      <formula>"未完成"</formula>
    </cfRule>
    <cfRule type="cellIs" dxfId="0" priority="2682" operator="equal">
      <formula>"未完成"</formula>
    </cfRule>
  </conditionalFormatting>
  <conditionalFormatting sqref="R10:R13 T10:T13 R22 T22">
    <cfRule type="cellIs" dxfId="0" priority="2653" operator="equal">
      <formula>"欠"</formula>
    </cfRule>
  </conditionalFormatting>
  <conditionalFormatting sqref="AC10:AC13 AC22">
    <cfRule type="cellIs" dxfId="0" priority="2654" operator="equal">
      <formula>"未完成"</formula>
    </cfRule>
    <cfRule type="cellIs" dxfId="1" priority="2655" operator="equal">
      <formula>"未完成"</formula>
    </cfRule>
  </conditionalFormatting>
  <conditionalFormatting sqref="AF10:AF13 AF22">
    <cfRule type="cellIs" dxfId="1" priority="2661" operator="equal">
      <formula>"未完成"</formula>
    </cfRule>
    <cfRule type="cellIs" dxfId="0" priority="2662" operator="equal">
      <formula>"未完成"</formula>
    </cfRule>
  </conditionalFormatting>
  <conditionalFormatting sqref="AG10:AH13 AG22:AH22">
    <cfRule type="cellIs" dxfId="1" priority="2659" operator="equal">
      <formula>"未完成"</formula>
    </cfRule>
    <cfRule type="cellIs" dxfId="0" priority="2660" operator="equal">
      <formula>"未完成"</formula>
    </cfRule>
  </conditionalFormatting>
  <conditionalFormatting sqref="R30:R31 R25 R18:R19 R15:R16 R38">
    <cfRule type="cellIs" dxfId="0" priority="2651" operator="equal">
      <formula>"欠"</formula>
    </cfRule>
  </conditionalFormatting>
  <conditionalFormatting sqref="T25 T18 T15:T16 T38">
    <cfRule type="cellIs" dxfId="0" priority="2650" operator="equal">
      <formula>"欠"</formula>
    </cfRule>
  </conditionalFormatting>
  <conditionalFormatting sqref="AD23 AD86">
    <cfRule type="cellIs" dxfId="1" priority="2464" operator="equal">
      <formula>"未完成"</formula>
    </cfRule>
    <cfRule type="cellIs" dxfId="0" priority="2465" operator="equal">
      <formula>"未完成"</formula>
    </cfRule>
  </conditionalFormatting>
  <conditionalFormatting sqref="R32 R39">
    <cfRule type="cellIs" dxfId="0" priority="2567" operator="equal">
      <formula>"欠"</formula>
    </cfRule>
  </conditionalFormatting>
  <conditionalFormatting sqref="S32:S33 S39">
    <cfRule type="cellIs" dxfId="0" priority="2565" operator="equal">
      <formula>"欠"</formula>
    </cfRule>
  </conditionalFormatting>
  <conditionalFormatting sqref="R33 T37 R37">
    <cfRule type="cellIs" dxfId="0" priority="2574" operator="equal">
      <formula>"欠"</formula>
    </cfRule>
  </conditionalFormatting>
  <conditionalFormatting sqref="AC33 AC37">
    <cfRule type="cellIs" dxfId="0" priority="2575" operator="equal">
      <formula>"未完成"</formula>
    </cfRule>
    <cfRule type="cellIs" dxfId="1" priority="2576" operator="equal">
      <formula>"未完成"</formula>
    </cfRule>
  </conditionalFormatting>
  <conditionalFormatting sqref="AD33 AD37">
    <cfRule type="cellIs" dxfId="1" priority="2578" operator="equal">
      <formula>"未完成"</formula>
    </cfRule>
    <cfRule type="cellIs" dxfId="0" priority="2579" operator="equal">
      <formula>"未完成"</formula>
    </cfRule>
  </conditionalFormatting>
  <conditionalFormatting sqref="AH33 AG37:AH37">
    <cfRule type="cellIs" dxfId="1" priority="2580" operator="equal">
      <formula>"未完成"</formula>
    </cfRule>
    <cfRule type="cellIs" dxfId="0" priority="2581" operator="equal">
      <formula>"未完成"</formula>
    </cfRule>
  </conditionalFormatting>
  <conditionalFormatting sqref="R59:R63 R56:R57 T40 T42 R54:T55 S53:T53 R40 R42 R92 R115 R94 R73:R75 R124 S146 S148 S208">
    <cfRule type="cellIs" dxfId="0" priority="2634" operator="equal">
      <formula>"欠"</formula>
    </cfRule>
  </conditionalFormatting>
  <conditionalFormatting sqref="S40 S42">
    <cfRule type="cellIs" dxfId="0" priority="2537" operator="equal">
      <formula>"欠"</formula>
    </cfRule>
  </conditionalFormatting>
  <conditionalFormatting sqref="AC45:AC46 AC42 AC40 AC53:AC55 AC58">
    <cfRule type="cellIs" dxfId="0" priority="2649" operator="equal">
      <formula>"未完成"</formula>
    </cfRule>
  </conditionalFormatting>
  <conditionalFormatting sqref="AG45:AH46 AG42:AH42 AG40:AH40 AG53:AH55 AG58:AH58">
    <cfRule type="cellIs" dxfId="1" priority="2647" operator="equal">
      <formula>"未完成"</formula>
    </cfRule>
    <cfRule type="cellIs" dxfId="0" priority="2648" operator="equal">
      <formula>"未完成"</formula>
    </cfRule>
  </conditionalFormatting>
  <conditionalFormatting sqref="AJ40 AJ42 AJ45:AJ46 AJ48:AJ49 AJ53:AJ57 AJ59 AJ61:AJ63 AJ65:AJ67 AJ69:AJ78 AJ81 AJ87:AJ89 AJ92:AJ94 AJ105:AJ106 AJ109:AJ111 AJ115 AJ118 AJ121:AJ122 AJ124:AJ128 AJ134 AJ147 AJ155:AJ160 AJ162:AJ163 AJ165 AJ186:AJ188 AJ192:AJ193 AJ198:AJ203 AJ205:AJ207 AJ209:AJ213 AJ217:AJ220 AJ227:AJ236 AJ238:AJ244 AJ252">
    <cfRule type="cellIs" dxfId="1" priority="2643" operator="equal">
      <formula>"未完成"</formula>
    </cfRule>
    <cfRule type="cellIs" dxfId="0" priority="2644" operator="equal">
      <formula>"未完成"</formula>
    </cfRule>
  </conditionalFormatting>
  <conditionalFormatting sqref="AK53:AK55 AK58 AK45:AK46 AK42 AK40 AK98:AK99 AK119 AK102:AK103 AK91 AK129:AK133 AK144 AK164 AK204">
    <cfRule type="cellIs" dxfId="1" priority="2641" operator="equal">
      <formula>"未完成"</formula>
    </cfRule>
    <cfRule type="cellIs" dxfId="0" priority="2642" operator="equal">
      <formula>"未完成"</formula>
    </cfRule>
  </conditionalFormatting>
  <conditionalFormatting sqref="AM40 AM42 AM45:AM46 AM48:AM49 AM53:AM63 AM65:AM67 AM69:AM78 AM81:AM85 AM87:AM89 AM91:AM94 AM96 AM98:AM99 AM101:AM106 AM109:AM111 AM114:AM115 AM117:AM134 AM139 AM141:AM144 AM146:AM165 AM186 AM188 AM190:AM194 AM196:AM206 AM208:AM213 AM217:AM220 AM227:AM235 AM238:AM242 AM252">
    <cfRule type="cellIs" dxfId="1" priority="2632" operator="equal">
      <formula>"未完成"</formula>
    </cfRule>
    <cfRule type="cellIs" dxfId="0" priority="2633" operator="equal">
      <formula>"未完成"</formula>
    </cfRule>
  </conditionalFormatting>
  <conditionalFormatting sqref="AN45:AN46 AN58 AN53:AN55 AN40 AN42">
    <cfRule type="cellIs" dxfId="1" priority="2637" operator="equal">
      <formula>"未完成"</formula>
    </cfRule>
    <cfRule type="cellIs" dxfId="0" priority="2638" operator="equal">
      <formula>"未完成"</formula>
    </cfRule>
  </conditionalFormatting>
  <conditionalFormatting sqref="AO40 AO42 AO45:AO46 AO48:AO49 AO53:AO63 AO65:AO67 AO70:AO78 AO81:AO85 AO87:AO89 AO91:AO94 AO96 AO98:AO105 AO114:AO115 AO117:AO122 AO124 AO146 AO148 AO252">
    <cfRule type="cellIs" dxfId="1" priority="2295" operator="equal">
      <formula>"未完成"</formula>
    </cfRule>
    <cfRule type="cellIs" dxfId="0" priority="2296" operator="equal">
      <formula>"未完成"</formula>
    </cfRule>
  </conditionalFormatting>
  <conditionalFormatting sqref="AR45:AR46 AR40 AR42 AR65:AR68 AR53:AR63 AR70 AR72 AR75:AR78">
    <cfRule type="cellIs" dxfId="1" priority="2635" operator="equal">
      <formula>"未完成"</formula>
    </cfRule>
    <cfRule type="cellIs" dxfId="0" priority="2636" operator="equal">
      <formula>"未完成"</formula>
    </cfRule>
  </conditionalFormatting>
  <conditionalFormatting sqref="AS58:AU58 AS40:AU40 AS42:AU42 AS45:AU46 AS53:AU55 AS114 AS120:AS123 AS104:AS105 AS117:AS118 AS125:AS134 AS143 AS139 AS147 AS149:AS153">
    <cfRule type="cellIs" dxfId="1" priority="2645" operator="equal">
      <formula>"未完成"</formula>
    </cfRule>
    <cfRule type="cellIs" dxfId="0" priority="2646" operator="equal">
      <formula>"未完成"</formula>
    </cfRule>
  </conditionalFormatting>
  <conditionalFormatting sqref="R53 T41 R41 R69 R146 R154 R157:R165 R148 R192">
    <cfRule type="cellIs" dxfId="0" priority="2541" operator="equal">
      <formula>"欠"</formula>
    </cfRule>
  </conditionalFormatting>
  <conditionalFormatting sqref="R46 R58">
    <cfRule type="cellIs" dxfId="0" priority="2559" operator="equal">
      <formula>"欠"</formula>
    </cfRule>
  </conditionalFormatting>
  <conditionalFormatting sqref="R47 R52 R64:R67 R104:R105 R93 R87:R89 R118 R109:R111 R134 R125:R128 R147 R149:R151 R155:R156 R186">
    <cfRule type="cellIs" dxfId="0" priority="2558" operator="equal">
      <formula>"欠"</formula>
    </cfRule>
  </conditionalFormatting>
  <conditionalFormatting sqref="S48:S49 S56:S57 S73:S74">
    <cfRule type="cellIs" dxfId="0" priority="2510" operator="equal">
      <formula>"欠"</formula>
    </cfRule>
  </conditionalFormatting>
  <conditionalFormatting sqref="T59 T56:T57 T65:T67 T93 T69 T118 T87:T89 T109:T111 T125:T128 T134 T147 T162 T155:T156 T149:T151 T186">
    <cfRule type="cellIs" dxfId="0" priority="2555" operator="equal">
      <formula>"欠"</formula>
    </cfRule>
  </conditionalFormatting>
  <conditionalFormatting sqref="S59:S63 S75 S94 S92">
    <cfRule type="cellIs" dxfId="0" priority="2538" operator="equal">
      <formula>"欠"</formula>
    </cfRule>
  </conditionalFormatting>
  <conditionalFormatting sqref="T60:T63 T75 T94 T92">
    <cfRule type="cellIs" dxfId="0" priority="2422" operator="equal">
      <formula>"欠"</formula>
    </cfRule>
  </conditionalFormatting>
  <conditionalFormatting sqref="AG63 AG68:AH68 AG70:AH70 AG76:AH78 AG81:AH81">
    <cfRule type="cellIs" dxfId="1" priority="2460" operator="equal">
      <formula>"未完成"</formula>
    </cfRule>
    <cfRule type="cellIs" dxfId="0" priority="2461" operator="equal">
      <formula>"未完成"</formula>
    </cfRule>
  </conditionalFormatting>
  <conditionalFormatting sqref="R68 R70 R76:R78">
    <cfRule type="cellIs" dxfId="0" priority="2440" operator="equal">
      <formula>"欠"</formula>
    </cfRule>
  </conditionalFormatting>
  <conditionalFormatting sqref="T68 T70 T76:T78">
    <cfRule type="cellIs" dxfId="0" priority="2446" operator="equal">
      <formula>"欠"</formula>
    </cfRule>
    <cfRule type="containsText" dxfId="2" priority="2447" operator="between" text="欠">
      <formula>NOT(ISERROR(SEARCH("欠",T68)))</formula>
    </cfRule>
  </conditionalFormatting>
  <conditionalFormatting sqref="AC68 AC70 AC76:AC78 AC81">
    <cfRule type="cellIs" dxfId="0" priority="2455" operator="equal">
      <formula>"未完成"</formula>
    </cfRule>
    <cfRule type="cellIs" dxfId="1" priority="2456" operator="equal">
      <formula>"未完成"</formula>
    </cfRule>
  </conditionalFormatting>
  <conditionalFormatting sqref="AD68 AD70 AD77:AD78 AD81">
    <cfRule type="cellIs" dxfId="1" priority="2458" operator="equal">
      <formula>"未完成"</formula>
    </cfRule>
    <cfRule type="cellIs" dxfId="0" priority="2459" operator="equal">
      <formula>"未完成"</formula>
    </cfRule>
  </conditionalFormatting>
  <conditionalFormatting sqref="AF68 AF70 AF76:AF78 AF81">
    <cfRule type="cellIs" dxfId="1" priority="2462" operator="equal">
      <formula>"未完成"</formula>
    </cfRule>
    <cfRule type="cellIs" dxfId="0" priority="2463" operator="equal">
      <formula>"未完成"</formula>
    </cfRule>
  </conditionalFormatting>
  <conditionalFormatting sqref="AR69 AR154:AR163 AR186 AR192:AR193">
    <cfRule type="cellIs" dxfId="1" priority="2280" operator="equal">
      <formula>"未完成"</formula>
    </cfRule>
    <cfRule type="cellIs" dxfId="0" priority="2281" operator="equal">
      <formula>"未完成"</formula>
    </cfRule>
  </conditionalFormatting>
  <conditionalFormatting sqref="S70 S76:S78">
    <cfRule type="cellIs" dxfId="0" priority="2439" operator="equal">
      <formula>"欠"</formula>
    </cfRule>
  </conditionalFormatting>
  <conditionalFormatting sqref="AG71:AH71 AG72">
    <cfRule type="cellIs" dxfId="1" priority="2487" operator="equal">
      <formula>"未完成"</formula>
    </cfRule>
    <cfRule type="cellIs" dxfId="0" priority="2488" operator="equal">
      <formula>"未完成"</formula>
    </cfRule>
  </conditionalFormatting>
  <conditionalFormatting sqref="T73:T74 T115 T124">
    <cfRule type="containsText" dxfId="2" priority="2423" operator="between" text="欠">
      <formula>NOT(ISERROR(SEARCH("欠",T73)))</formula>
    </cfRule>
    <cfRule type="cellIs" dxfId="0" priority="2425" operator="equal">
      <formula>"欠"</formula>
    </cfRule>
  </conditionalFormatting>
  <conditionalFormatting sqref="AC73:AC74 AC115">
    <cfRule type="cellIs" dxfId="0" priority="2426" operator="equal">
      <formula>"未完成"</formula>
    </cfRule>
    <cfRule type="cellIs" dxfId="1" priority="2427" operator="equal">
      <formula>"未完成"</formula>
    </cfRule>
  </conditionalFormatting>
  <conditionalFormatting sqref="AD73:AD74 AD115">
    <cfRule type="cellIs" dxfId="1" priority="2429" operator="equal">
      <formula>"未完成"</formula>
    </cfRule>
    <cfRule type="cellIs" dxfId="0" priority="2430" operator="equal">
      <formula>"未完成"</formula>
    </cfRule>
  </conditionalFormatting>
  <conditionalFormatting sqref="AF73:AF74 AF115">
    <cfRule type="cellIs" dxfId="1" priority="2433" operator="equal">
      <formula>"未完成"</formula>
    </cfRule>
    <cfRule type="cellIs" dxfId="0" priority="2434" operator="equal">
      <formula>"未完成"</formula>
    </cfRule>
  </conditionalFormatting>
  <conditionalFormatting sqref="AG73:AH74 AG115:AH115">
    <cfRule type="cellIs" dxfId="1" priority="2431" operator="equal">
      <formula>"未完成"</formula>
    </cfRule>
    <cfRule type="cellIs" dxfId="0" priority="2432" operator="equal">
      <formula>"未完成"</formula>
    </cfRule>
  </conditionalFormatting>
  <conditionalFormatting sqref="R90:R91 R82:R86 R80 R98:R103 R119">
    <cfRule type="cellIs" dxfId="0" priority="2417" operator="equal">
      <formula>"欠"</formula>
    </cfRule>
  </conditionalFormatting>
  <conditionalFormatting sqref="S117 S90 S138">
    <cfRule type="cellIs" dxfId="0" priority="2290" operator="equal">
      <formula>"欠"</formula>
    </cfRule>
  </conditionalFormatting>
  <conditionalFormatting sqref="AJ117 AJ90 AJ138">
    <cfRule type="cellIs" dxfId="1" priority="2288" operator="equal">
      <formula>"未完成"</formula>
    </cfRule>
    <cfRule type="cellIs" dxfId="0" priority="2289" operator="equal">
      <formula>"未完成"</formula>
    </cfRule>
  </conditionalFormatting>
  <conditionalFormatting sqref="AR117:AR118 AR90 AR138">
    <cfRule type="cellIs" dxfId="1" priority="2286" operator="equal">
      <formula>"未完成"</formula>
    </cfRule>
    <cfRule type="cellIs" dxfId="0" priority="2287" operator="equal">
      <formula>"未完成"</formula>
    </cfRule>
  </conditionalFormatting>
  <conditionalFormatting sqref="S98:S99 S102:S103 S91 S119">
    <cfRule type="cellIs" dxfId="0" priority="2320" operator="equal">
      <formula>"欠"</formula>
    </cfRule>
  </conditionalFormatting>
  <conditionalFormatting sqref="AG95:AH95 AG96">
    <cfRule type="cellIs" dxfId="1" priority="2268" operator="equal">
      <formula>"未完成"</formula>
    </cfRule>
    <cfRule type="cellIs" dxfId="0" priority="2269" operator="equal">
      <formula>"未完成"</formula>
    </cfRule>
  </conditionalFormatting>
  <conditionalFormatting sqref="AM97 AM100">
    <cfRule type="cellIs" dxfId="1" priority="2323" operator="equal">
      <formula>"未完成"</formula>
    </cfRule>
    <cfRule type="cellIs" dxfId="0" priority="2324" operator="equal">
      <formula>"未完成"</formula>
    </cfRule>
  </conditionalFormatting>
  <conditionalFormatting sqref="AH99:AI99 AH101 AG100:AH100">
    <cfRule type="cellIs" dxfId="1" priority="2387" operator="equal">
      <formula>"未完成"</formula>
    </cfRule>
    <cfRule type="cellIs" dxfId="0" priority="2391" operator="equal">
      <formula>"未完成"</formula>
    </cfRule>
  </conditionalFormatting>
  <conditionalFormatting sqref="S100:S101 S122">
    <cfRule type="cellIs" dxfId="0" priority="2277" operator="equal">
      <formula>"欠"</formula>
    </cfRule>
  </conditionalFormatting>
  <conditionalFormatting sqref="AL101 AL122">
    <cfRule type="cellIs" dxfId="1" priority="2275" operator="equal">
      <formula>"未完成"</formula>
    </cfRule>
    <cfRule type="cellIs" dxfId="0" priority="2276" operator="equal">
      <formula>"未完成"</formula>
    </cfRule>
  </conditionalFormatting>
  <conditionalFormatting sqref="T102:T103 T119">
    <cfRule type="cellIs" dxfId="0" priority="2338" operator="equal">
      <formula>"欠"</formula>
    </cfRule>
  </conditionalFormatting>
  <conditionalFormatting sqref="AC117:AC118 AC114 AC104:AC105 AC120:AC122">
    <cfRule type="cellIs" dxfId="0" priority="2404" operator="equal">
      <formula>"未完成"</formula>
    </cfRule>
    <cfRule type="cellIs" dxfId="1" priority="2405" operator="equal">
      <formula>"未完成"</formula>
    </cfRule>
  </conditionalFormatting>
  <conditionalFormatting sqref="AD117:AD118 AD104:AD105 AD120:AD122">
    <cfRule type="cellIs" dxfId="1" priority="2407" operator="equal">
      <formula>"未完成"</formula>
    </cfRule>
    <cfRule type="cellIs" dxfId="0" priority="2408" operator="equal">
      <formula>"未完成"</formula>
    </cfRule>
  </conditionalFormatting>
  <conditionalFormatting sqref="AF117:AF118 AF114 AF104:AF105 AF120:AF122">
    <cfRule type="cellIs" dxfId="1" priority="2411" operator="equal">
      <formula>"未完成"</formula>
    </cfRule>
    <cfRule type="cellIs" dxfId="0" priority="2412" operator="equal">
      <formula>"未完成"</formula>
    </cfRule>
  </conditionalFormatting>
  <conditionalFormatting sqref="AH114 AG104:AH105 AG117:AH117 AH118 AG120:AH121 AH122">
    <cfRule type="cellIs" dxfId="1" priority="2409" operator="equal">
      <formula>"未完成"</formula>
    </cfRule>
    <cfRule type="cellIs" dxfId="0" priority="2410" operator="equal">
      <formula>"未完成"</formula>
    </cfRule>
  </conditionalFormatting>
  <conditionalFormatting sqref="S105 S114 S123 S139 S141:S142 S144:S145">
    <cfRule type="cellIs" dxfId="0" priority="2319" operator="equal">
      <formula>"欠"</formula>
    </cfRule>
  </conditionalFormatting>
  <conditionalFormatting sqref="R106 R120:R122">
    <cfRule type="cellIs" dxfId="0" priority="2245" operator="equal">
      <formula>"欠"</formula>
    </cfRule>
  </conditionalFormatting>
  <conditionalFormatting sqref="S106 S120">
    <cfRule type="cellIs" dxfId="0" priority="2242" operator="equal">
      <formula>"欠"</formula>
    </cfRule>
  </conditionalFormatting>
  <conditionalFormatting sqref="AC106 AC124">
    <cfRule type="cellIs" dxfId="0" priority="2248" operator="equal">
      <formula>"未完成"</formula>
    </cfRule>
    <cfRule type="cellIs" dxfId="1" priority="2249" operator="equal">
      <formula>"未完成"</formula>
    </cfRule>
  </conditionalFormatting>
  <conditionalFormatting sqref="AD106 AD124">
    <cfRule type="cellIs" dxfId="1" priority="2250" operator="equal">
      <formula>"未完成"</formula>
    </cfRule>
    <cfRule type="cellIs" dxfId="0" priority="2251" operator="equal">
      <formula>"未完成"</formula>
    </cfRule>
  </conditionalFormatting>
  <conditionalFormatting sqref="AF106 AF124">
    <cfRule type="cellIs" dxfId="1" priority="2254" operator="equal">
      <formula>"未完成"</formula>
    </cfRule>
    <cfRule type="cellIs" dxfId="0" priority="2255" operator="equal">
      <formula>"未完成"</formula>
    </cfRule>
  </conditionalFormatting>
  <conditionalFormatting sqref="AG106:AH106 AG124:AH124">
    <cfRule type="cellIs" dxfId="1" priority="2252" operator="equal">
      <formula>"未完成"</formula>
    </cfRule>
    <cfRule type="cellIs" dxfId="0" priority="2253" operator="equal">
      <formula>"未完成"</formula>
    </cfRule>
  </conditionalFormatting>
  <conditionalFormatting sqref="T107:T108 R107:R108 R113 T113 T146 T148">
    <cfRule type="cellIs" dxfId="0" priority="2527" operator="equal">
      <formula>"欠"</formula>
    </cfRule>
  </conditionalFormatting>
  <conditionalFormatting sqref="T107:T108 T113 T146 T148">
    <cfRule type="containsText" dxfId="2" priority="2523" operator="between" text="欠">
      <formula>NOT(ISERROR(SEARCH("欠",T107)))</formula>
    </cfRule>
  </conditionalFormatting>
  <conditionalFormatting sqref="AC119 AC107:AC111 AC113 AC146 AC148">
    <cfRule type="cellIs" dxfId="0" priority="2528" operator="equal">
      <formula>"未完成"</formula>
    </cfRule>
    <cfRule type="cellIs" dxfId="1" priority="2529" operator="equal">
      <formula>"未完成"</formula>
    </cfRule>
  </conditionalFormatting>
  <conditionalFormatting sqref="AD107:AD111 AD146 AD148">
    <cfRule type="cellIs" dxfId="1" priority="2531" operator="equal">
      <formula>"未完成"</formula>
    </cfRule>
    <cfRule type="cellIs" dxfId="0" priority="2532" operator="equal">
      <formula>"未完成"</formula>
    </cfRule>
  </conditionalFormatting>
  <conditionalFormatting sqref="AF119 AF107:AF111 AF113 AF146 AF148">
    <cfRule type="cellIs" dxfId="1" priority="2535" operator="equal">
      <formula>"未完成"</formula>
    </cfRule>
    <cfRule type="cellIs" dxfId="0" priority="2536" operator="equal">
      <formula>"未完成"</formula>
    </cfRule>
  </conditionalFormatting>
  <conditionalFormatting sqref="AG119:AH119 AG107:AH111 AG113:AH113 AH146 AH148">
    <cfRule type="cellIs" dxfId="1" priority="2533" operator="equal">
      <formula>"未完成"</formula>
    </cfRule>
    <cfRule type="cellIs" dxfId="0" priority="2534" operator="equal">
      <formula>"未完成"</formula>
    </cfRule>
  </conditionalFormatting>
  <conditionalFormatting sqref="S112:S113 S108 S121">
    <cfRule type="cellIs" dxfId="0" priority="2526" operator="equal">
      <formula>"欠"</formula>
    </cfRule>
  </conditionalFormatting>
  <conditionalFormatting sqref="T112 R112">
    <cfRule type="cellIs" dxfId="0" priority="2177" operator="equal">
      <formula>"欠"</formula>
    </cfRule>
  </conditionalFormatting>
  <conditionalFormatting sqref="R114 T117 T114 T120:T122 R138 T138:T139">
    <cfRule type="cellIs" dxfId="0" priority="2403" operator="equal">
      <formula>"欠"</formula>
    </cfRule>
  </conditionalFormatting>
  <conditionalFormatting sqref="T114 T117 T120:T122 T138:T139">
    <cfRule type="containsText" dxfId="2" priority="2401" operator="between" text="欠">
      <formula>NOT(ISERROR(SEARCH("欠",T114)))</formula>
    </cfRule>
  </conditionalFormatting>
  <conditionalFormatting sqref="S115 S124">
    <cfRule type="cellIs" dxfId="0" priority="2424" operator="equal">
      <formula>"欠"</formula>
    </cfRule>
  </conditionalFormatting>
  <conditionalFormatting sqref="R123 R129:R133 R139 R143">
    <cfRule type="cellIs" dxfId="0" priority="2192" operator="equal">
      <formula>"欠"</formula>
    </cfRule>
  </conditionalFormatting>
  <conditionalFormatting sqref="AC123 AC134 AC147 AC125:AC128 AC139 AC149:AC153">
    <cfRule type="cellIs" dxfId="1" priority="2217" operator="equal">
      <formula>"未完成"</formula>
    </cfRule>
    <cfRule type="cellIs" dxfId="0" priority="2218" operator="equal">
      <formula>"未完成"</formula>
    </cfRule>
  </conditionalFormatting>
  <conditionalFormatting sqref="AD123 AD134 AD147 AD125:AD128 AD139 AD149:AD153">
    <cfRule type="cellIs" dxfId="1" priority="2219" operator="equal">
      <formula>"未完成"</formula>
    </cfRule>
    <cfRule type="cellIs" dxfId="0" priority="2220" operator="equal">
      <formula>"未完成"</formula>
    </cfRule>
  </conditionalFormatting>
  <conditionalFormatting sqref="AF123 AF134 AF147 AF125:AF128 AF139 AF149:AF153">
    <cfRule type="cellIs" dxfId="1" priority="2223" operator="equal">
      <formula>"未完成"</formula>
    </cfRule>
    <cfRule type="cellIs" dxfId="0" priority="2224" operator="equal">
      <formula>"未完成"</formula>
    </cfRule>
  </conditionalFormatting>
  <conditionalFormatting sqref="AG123:AH123 AG147:AH147 AG139:AH139 AH125:AH128 AG149:AH151 AG152:AG153">
    <cfRule type="cellIs" dxfId="1" priority="2221" operator="equal">
      <formula>"未完成"</formula>
    </cfRule>
    <cfRule type="cellIs" dxfId="0" priority="2222" operator="equal">
      <formula>"未完成"</formula>
    </cfRule>
  </conditionalFormatting>
  <conditionalFormatting sqref="AO123 AO134 AO147 AO125:AO128 AO139 AO149:AO153">
    <cfRule type="cellIs" dxfId="1" priority="2213" operator="equal">
      <formula>"未完成"</formula>
    </cfRule>
    <cfRule type="cellIs" dxfId="0" priority="2214" operator="equal">
      <formula>"未完成"</formula>
    </cfRule>
  </conditionalFormatting>
  <conditionalFormatting sqref="T129:T133 T143">
    <cfRule type="cellIs" dxfId="0" priority="2062" operator="equal">
      <formula>"欠"</formula>
    </cfRule>
    <cfRule type="containsText" dxfId="2" priority="2063" operator="between" text="欠">
      <formula>NOT(ISERROR(SEARCH("欠",T129)))</formula>
    </cfRule>
  </conditionalFormatting>
  <conditionalFormatting sqref="AC129:AC133 AC143">
    <cfRule type="cellIs" dxfId="0" priority="2129" operator="equal">
      <formula>"未完成"</formula>
    </cfRule>
    <cfRule type="cellIs" dxfId="1" priority="2130" operator="equal">
      <formula>"未完成"</formula>
    </cfRule>
  </conditionalFormatting>
  <conditionalFormatting sqref="AF129:AF133 AF143">
    <cfRule type="cellIs" dxfId="1" priority="2135" operator="equal">
      <formula>"未完成"</formula>
    </cfRule>
    <cfRule type="cellIs" dxfId="0" priority="2136" operator="equal">
      <formula>"未完成"</formula>
    </cfRule>
  </conditionalFormatting>
  <conditionalFormatting sqref="AG129:AH133 AH143">
    <cfRule type="cellIs" dxfId="1" priority="2133" operator="equal">
      <formula>"未完成"</formula>
    </cfRule>
    <cfRule type="cellIs" dxfId="0" priority="2134" operator="equal">
      <formula>"未完成"</formula>
    </cfRule>
  </conditionalFormatting>
  <conditionalFormatting sqref="AJ129:AJ133 AJ143">
    <cfRule type="cellIs" dxfId="1" priority="2140" operator="equal">
      <formula>"未完成"</formula>
    </cfRule>
    <cfRule type="cellIs" dxfId="0" priority="2141" operator="equal">
      <formula>"未完成"</formula>
    </cfRule>
  </conditionalFormatting>
  <conditionalFormatting sqref="AO129:AO133 AO143">
    <cfRule type="cellIs" dxfId="1" priority="2125" operator="equal">
      <formula>"未完成"</formula>
    </cfRule>
    <cfRule type="cellIs" dxfId="0" priority="2126" operator="equal">
      <formula>"未完成"</formula>
    </cfRule>
  </conditionalFormatting>
  <conditionalFormatting sqref="AJ135:AJ137 AJ152:AJ153">
    <cfRule type="cellIs" dxfId="1" priority="2058" operator="equal">
      <formula>"未完成"</formula>
    </cfRule>
    <cfRule type="cellIs" dxfId="0" priority="2059" operator="equal">
      <formula>"未完成"</formula>
    </cfRule>
  </conditionalFormatting>
  <conditionalFormatting sqref="AM135:AM137 AM145 AM237">
    <cfRule type="cellIs" dxfId="1" priority="2310" operator="equal">
      <formula>"未完成"</formula>
    </cfRule>
    <cfRule type="cellIs" dxfId="0" priority="2311" operator="equal">
      <formula>"未完成"</formula>
    </cfRule>
  </conditionalFormatting>
  <conditionalFormatting sqref="AG146 AG148">
    <cfRule type="cellIs" dxfId="1" priority="1982" operator="equal">
      <formula>"未完成"</formula>
    </cfRule>
    <cfRule type="cellIs" dxfId="0" priority="1983" operator="equal">
      <formula>"未完成"</formula>
    </cfRule>
  </conditionalFormatting>
  <conditionalFormatting sqref="S154 S161">
    <cfRule type="cellIs" dxfId="0" priority="2285" operator="equal">
      <formula>"欠"</formula>
    </cfRule>
  </conditionalFormatting>
  <conditionalFormatting sqref="AJ154 AJ161">
    <cfRule type="cellIs" dxfId="1" priority="2282" operator="equal">
      <formula>"未完成"</formula>
    </cfRule>
    <cfRule type="cellIs" dxfId="0" priority="2283" operator="equal">
      <formula>"未完成"</formula>
    </cfRule>
  </conditionalFormatting>
  <conditionalFormatting sqref="T157:T161 T192">
    <cfRule type="containsText" dxfId="2" priority="1946" operator="between" text="欠">
      <formula>NOT(ISERROR(SEARCH("欠",T157)))</formula>
    </cfRule>
    <cfRule type="cellIs" dxfId="0" priority="1947" operator="equal">
      <formula>"欠"</formula>
    </cfRule>
  </conditionalFormatting>
  <conditionalFormatting sqref="S163 S165">
    <cfRule type="cellIs" dxfId="0" priority="1880" operator="equal">
      <formula>"欠"</formula>
    </cfRule>
  </conditionalFormatting>
  <conditionalFormatting sqref="AG164:AH165">
    <cfRule type="cellIs" dxfId="1" priority="1901" operator="equal">
      <formula>"未完成"</formula>
    </cfRule>
    <cfRule type="cellIs" dxfId="0" priority="1902" operator="equal">
      <formula>"未完成"</formula>
    </cfRule>
  </conditionalFormatting>
  <conditionalFormatting sqref="S186 S193:S194 S196:S197 S190:S191">
    <cfRule type="cellIs" dxfId="0" priority="1948" operator="equal">
      <formula>"欠"</formula>
    </cfRule>
  </conditionalFormatting>
  <conditionalFormatting sqref="R187 R207">
    <cfRule type="cellIs" dxfId="0" priority="1669" operator="equal">
      <formula>"欠"</formula>
    </cfRule>
  </conditionalFormatting>
  <conditionalFormatting sqref="AC187:AC188 AC207">
    <cfRule type="cellIs" dxfId="0" priority="1654" operator="equal">
      <formula>"未完成"</formula>
    </cfRule>
    <cfRule type="cellIs" dxfId="1" priority="1655" operator="equal">
      <formula>"未完成"</formula>
    </cfRule>
  </conditionalFormatting>
  <conditionalFormatting sqref="AD187:AD188 AD207">
    <cfRule type="cellIs" dxfId="1" priority="1656" operator="equal">
      <formula>"未完成"</formula>
    </cfRule>
    <cfRule type="cellIs" dxfId="0" priority="1657" operator="equal">
      <formula>"未完成"</formula>
    </cfRule>
  </conditionalFormatting>
  <conditionalFormatting sqref="AF187:AF188 AF207">
    <cfRule type="cellIs" dxfId="1" priority="1660" operator="equal">
      <formula>"未完成"</formula>
    </cfRule>
    <cfRule type="cellIs" dxfId="0" priority="1661" operator="equal">
      <formula>"未完成"</formula>
    </cfRule>
  </conditionalFormatting>
  <conditionalFormatting sqref="AG187:AH188 AG207:AH207">
    <cfRule type="cellIs" dxfId="1" priority="1658" operator="equal">
      <formula>"未完成"</formula>
    </cfRule>
    <cfRule type="cellIs" dxfId="0" priority="1659" operator="equal">
      <formula>"未完成"</formula>
    </cfRule>
  </conditionalFormatting>
  <conditionalFormatting sqref="AM187 AM207 AM236 AM243:AM244">
    <cfRule type="cellIs" dxfId="1" priority="1645" operator="equal">
      <formula>"未完成"</formula>
    </cfRule>
    <cfRule type="cellIs" dxfId="0" priority="1646" operator="equal">
      <formula>"未完成"</formula>
    </cfRule>
  </conditionalFormatting>
  <conditionalFormatting sqref="AO187:AO188 AO207">
    <cfRule type="cellIs" dxfId="1" priority="1662" operator="equal">
      <formula>"未完成"</formula>
    </cfRule>
    <cfRule type="cellIs" dxfId="0" priority="1663" operator="equal">
      <formula>"未完成"</formula>
    </cfRule>
  </conditionalFormatting>
  <conditionalFormatting sqref="S189 S222:S224">
    <cfRule type="cellIs" dxfId="0" priority="1613" operator="equal">
      <formula>"欠"</formula>
    </cfRule>
  </conditionalFormatting>
  <conditionalFormatting sqref="AE189 AE222:AE226 AE253:AE255">
    <cfRule type="cellIs" dxfId="1" priority="1616" operator="equal">
      <formula>"未完成"</formula>
    </cfRule>
    <cfRule type="cellIs" dxfId="0" priority="1617" operator="equal">
      <formula>"未完成"</formula>
    </cfRule>
  </conditionalFormatting>
  <conditionalFormatting sqref="AI189 AI222:AI224">
    <cfRule type="cellIs" dxfId="1" priority="1614" operator="equal">
      <formula>"未完成"</formula>
    </cfRule>
    <cfRule type="cellIs" dxfId="0" priority="1615" operator="equal">
      <formula>"未完成"</formula>
    </cfRule>
  </conditionalFormatting>
  <conditionalFormatting sqref="AI194 AI190">
    <cfRule type="cellIs" dxfId="1" priority="1539" operator="equal">
      <formula>"未完成"</formula>
    </cfRule>
    <cfRule type="cellIs" dxfId="0" priority="1540" operator="equal">
      <formula>"未完成"</formula>
    </cfRule>
  </conditionalFormatting>
  <conditionalFormatting sqref="R196 R191 R193:R194">
    <cfRule type="cellIs" dxfId="0" priority="1648" operator="equal">
      <formula>"欠"</formula>
    </cfRule>
  </conditionalFormatting>
  <conditionalFormatting sqref="R198:R203 R205:R206 R209:R212 R217:R220 R222:R224 R227:R236 R238:R244">
    <cfRule type="cellIs" dxfId="0" priority="1406" operator="equal">
      <formula>"欠"</formula>
    </cfRule>
  </conditionalFormatting>
  <conditionalFormatting sqref="T198:T203 T205:T206 T209:T212 T217:T220 T222:T224 T227:T236 T238:T244">
    <cfRule type="containsText" dxfId="2" priority="1382" operator="between" text="欠">
      <formula>NOT(ISERROR(SEARCH("欠",T198)))</formula>
    </cfRule>
    <cfRule type="cellIs" dxfId="0" priority="1388" operator="equal">
      <formula>"欠"</formula>
    </cfRule>
  </conditionalFormatting>
  <conditionalFormatting sqref="AI203 AI205:AI206">
    <cfRule type="cellIs" dxfId="1" priority="1491" operator="equal">
      <formula>"未完成"</formula>
    </cfRule>
    <cfRule type="cellIs" dxfId="0" priority="1497" operator="equal">
      <formula>"未完成"</formula>
    </cfRule>
  </conditionalFormatting>
  <conditionalFormatting sqref="AC209:AC212 AC204 AC206 AC217:AC220 AC222:AC224 AC227:AC228 AC236 AC243:AC244">
    <cfRule type="cellIs" dxfId="0" priority="1634" operator="equal">
      <formula>"未完成"</formula>
    </cfRule>
    <cfRule type="cellIs" dxfId="1" priority="1635" operator="equal">
      <formula>"未完成"</formula>
    </cfRule>
  </conditionalFormatting>
  <conditionalFormatting sqref="AD209:AD212 AD204 AD217:AD220 AD222:AD224 AD227:AD228 AD236 AD243:AD244">
    <cfRule type="cellIs" dxfId="1" priority="1636" operator="equal">
      <formula>"未完成"</formula>
    </cfRule>
    <cfRule type="cellIs" dxfId="0" priority="1637" operator="equal">
      <formula>"未完成"</formula>
    </cfRule>
  </conditionalFormatting>
  <conditionalFormatting sqref="AF209:AF212 AF204 AF206 AF217:AF220 AF222:AF224 AF227:AF228 AF236 AF243:AF244">
    <cfRule type="cellIs" dxfId="1" priority="1640" operator="equal">
      <formula>"未完成"</formula>
    </cfRule>
    <cfRule type="cellIs" dxfId="0" priority="1641" operator="equal">
      <formula>"未完成"</formula>
    </cfRule>
  </conditionalFormatting>
  <conditionalFormatting sqref="AG209:AH212 AG204:AH204 AH206 AG217:AH220 AH222:AH224 AG227:AH228 AG236:AH236 AG243:AH244">
    <cfRule type="cellIs" dxfId="1" priority="1638" operator="equal">
      <formula>"未完成"</formula>
    </cfRule>
    <cfRule type="cellIs" dxfId="0" priority="1639" operator="equal">
      <formula>"未完成"</formula>
    </cfRule>
  </conditionalFormatting>
  <conditionalFormatting sqref="AI204 AI212">
    <cfRule type="cellIs" dxfId="1" priority="1630" operator="equal">
      <formula>"未完成"</formula>
    </cfRule>
    <cfRule type="cellIs" dxfId="0" priority="1631" operator="equal">
      <formula>"未完成"</formula>
    </cfRule>
  </conditionalFormatting>
  <conditionalFormatting sqref="AR209:AR212 AR204 AR206 AR217:AR220 AR222:AR224 AR227:AR228 AR236 AR243:AR244">
    <cfRule type="cellIs" dxfId="1" priority="1621" operator="equal">
      <formula>"未完成"</formula>
    </cfRule>
    <cfRule type="cellIs" dxfId="0" priority="1622" operator="equal">
      <formula>"未完成"</formula>
    </cfRule>
  </conditionalFormatting>
  <conditionalFormatting sqref="AM221:AM226 AM253:AM255">
    <cfRule type="cellIs" dxfId="1" priority="1225" operator="equal">
      <formula>"未完成"</formula>
    </cfRule>
    <cfRule type="cellIs" dxfId="0" priority="1226" operator="equal">
      <formula>"未完成"</formula>
    </cfRule>
  </conditionalFormatting>
  <conditionalFormatting sqref="R256 T256">
    <cfRule type="cellIs" dxfId="0" priority="413" operator="equal">
      <formula>"欠"</formula>
    </cfRule>
  </conditionalFormatting>
  <conditionalFormatting sqref="R260 T257 R257 T260">
    <cfRule type="cellIs" dxfId="0" priority="5108" operator="equal">
      <formula>"欠"</formula>
    </cfRule>
  </conditionalFormatting>
  <conditionalFormatting sqref="S260 S257">
    <cfRule type="cellIs" dxfId="0" priority="5107" operator="equal">
      <formula>"欠"</formula>
    </cfRule>
  </conditionalFormatting>
  <conditionalFormatting sqref="R258 T258">
    <cfRule type="cellIs" dxfId="0" priority="5124" operator="equal">
      <formula>"欠"</formula>
    </cfRule>
  </conditionalFormatting>
  <conditionalFormatting sqref="R259 T259">
    <cfRule type="cellIs" dxfId="0" priority="5106" operator="equal">
      <formula>"欠"</formula>
    </cfRule>
  </conditionalFormatting>
  <conditionalFormatting sqref="T261 R261">
    <cfRule type="cellIs" dxfId="0" priority="5104" operator="equal">
      <formula>"欠"</formula>
    </cfRule>
  </conditionalFormatting>
  <conditionalFormatting sqref="T263 R263">
    <cfRule type="cellIs" dxfId="0" priority="5126" operator="equal">
      <formula>"欠"</formula>
    </cfRule>
  </conditionalFormatting>
  <conditionalFormatting sqref="R264:R266 T264:T266">
    <cfRule type="cellIs" dxfId="0" priority="5149" operator="equal">
      <formula>"欠"</formula>
    </cfRule>
  </conditionalFormatting>
  <conditionalFormatting sqref="R267:R284 T267:T284">
    <cfRule type="cellIs" dxfId="0" priority="5150" operator="equal">
      <formula>"欠"</formula>
    </cfRule>
  </conditionalFormatting>
  <dataValidations count="1">
    <dataValidation type="list" allowBlank="1" showInputMessage="1" showErrorMessage="1" sqref="AC2:AC244 AC245:AC251 AC252:AC254 AC256:AC285">
      <formula1>"未完成,已完成,OK"</formula1>
    </dataValidation>
  </dataValidations>
  <pageMargins left="0.75" right="0.75" top="1" bottom="1" header="0.5" footer="0.5"/>
  <pageSetup paperSize="9" orientation="portrait"/>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XFD398"/>
  <sheetViews>
    <sheetView zoomScale="85" zoomScaleNormal="85" workbookViewId="0">
      <pane xSplit="14" ySplit="1" topLeftCell="T227" activePane="bottomRight" state="frozen"/>
      <selection/>
      <selection pane="topRight"/>
      <selection pane="bottomLeft"/>
      <selection pane="bottomRight" activeCell="V302" sqref="V302"/>
    </sheetView>
  </sheetViews>
  <sheetFormatPr defaultColWidth="9" defaultRowHeight="13.5"/>
  <cols>
    <col min="1" max="1" width="14.9166666666667" style="811" customWidth="1"/>
    <col min="2" max="2" width="14.1083333333333" style="810" customWidth="1"/>
    <col min="3" max="3" width="11.0583333333333" style="810" customWidth="1"/>
    <col min="4" max="4" width="14.7583333333333" style="810" customWidth="1"/>
    <col min="5" max="5" width="15.175" style="812" customWidth="1"/>
    <col min="6" max="6" width="16.8916666666667" style="810" customWidth="1"/>
    <col min="7" max="7" width="14.6833333333333" style="810" customWidth="1"/>
    <col min="8" max="8" width="19.4583333333333" style="810" customWidth="1"/>
    <col min="9" max="9" width="13.5583333333333" style="810" customWidth="1"/>
    <col min="10" max="10" width="10.1416666666667" style="810" customWidth="1"/>
    <col min="11" max="11" width="9.2" style="810" customWidth="1"/>
    <col min="12" max="12" width="8.75833333333333" style="810" customWidth="1"/>
    <col min="13" max="14" width="18.1083333333333" style="810" customWidth="1"/>
    <col min="15" max="15" width="11.8" style="810" customWidth="1"/>
    <col min="16" max="16" width="15.35" style="810" customWidth="1"/>
    <col min="17" max="17" width="14.6083333333333" style="810" customWidth="1"/>
    <col min="18" max="18" width="13.1833333333333" style="810" customWidth="1"/>
    <col min="19" max="19" width="9.55833333333333" style="810" customWidth="1"/>
    <col min="20" max="20" width="11.5916666666667" style="810" customWidth="1"/>
    <col min="21" max="21" width="37.1166666666667" style="810" customWidth="1"/>
    <col min="22" max="22" width="12.2583333333333" style="810" customWidth="1"/>
    <col min="23" max="23" width="12.675" style="813" customWidth="1"/>
    <col min="24" max="24" width="10.525" style="814" customWidth="1"/>
    <col min="25" max="25" width="16.425" style="815" customWidth="1"/>
    <col min="26" max="26" width="17.5916666666667" style="816" customWidth="1"/>
    <col min="27" max="27" width="9.99166666666667" style="817" customWidth="1"/>
    <col min="28" max="28" width="12.225" style="815" customWidth="1"/>
    <col min="29" max="29" width="11.0583333333333" style="810" customWidth="1"/>
    <col min="30" max="30" width="10.35" style="818" customWidth="1"/>
    <col min="31" max="31" width="8.96666666666667" style="818" customWidth="1"/>
    <col min="32" max="32" width="8.94166666666667" style="819" customWidth="1"/>
    <col min="33" max="33" width="7.85833333333333" style="820" customWidth="1"/>
    <col min="34" max="34" width="6.6" style="819" customWidth="1"/>
    <col min="35" max="46" width="9" style="810" customWidth="1"/>
    <col min="47" max="48" width="11.5916666666667" style="810" customWidth="1"/>
    <col min="49" max="55" width="10.9416666666667" style="810" customWidth="1"/>
    <col min="56" max="62" width="9" style="810" customWidth="1"/>
    <col min="63" max="64" width="11.8916666666667" style="810" customWidth="1"/>
    <col min="65" max="65" width="11.8916666666667" style="810"/>
    <col min="66" max="66" width="9" style="810"/>
    <col min="67" max="70" width="11.8916666666667" style="810"/>
    <col min="71" max="71" width="11.8916666666667" style="821"/>
    <col min="72" max="72" width="14.3333333333333" style="821"/>
    <col min="73" max="73" width="11.2666666666667" style="821" customWidth="1"/>
    <col min="74" max="76" width="10.65" style="821" customWidth="1"/>
    <col min="77" max="78" width="10.65" style="810" customWidth="1"/>
    <col min="79" max="79" width="13.5416666666667" style="810"/>
    <col min="80" max="80" width="9" style="821"/>
    <col min="81" max="81" width="9.38333333333333" style="821"/>
    <col min="82" max="82" width="9" style="821"/>
    <col min="83" max="83" width="11.8916666666667" style="821"/>
    <col min="84" max="84" width="10.375" style="821"/>
    <col min="85" max="85" width="9" style="821"/>
    <col min="86" max="16384" width="9" style="810"/>
  </cols>
  <sheetData>
    <row r="1" s="801" customFormat="1" ht="63" customHeight="1" spans="1:85">
      <c r="A1" s="822" t="s">
        <v>0</v>
      </c>
      <c r="B1" s="823" t="s">
        <v>1</v>
      </c>
      <c r="C1" s="823" t="s">
        <v>2</v>
      </c>
      <c r="D1" s="823" t="s">
        <v>3</v>
      </c>
      <c r="E1" s="824" t="s">
        <v>4</v>
      </c>
      <c r="F1" s="824" t="s">
        <v>5</v>
      </c>
      <c r="G1" s="823" t="s">
        <v>6</v>
      </c>
      <c r="H1" s="823" t="s">
        <v>7</v>
      </c>
      <c r="I1" s="823" t="s">
        <v>8</v>
      </c>
      <c r="J1" s="823" t="s">
        <v>9</v>
      </c>
      <c r="K1" s="823" t="s">
        <v>10</v>
      </c>
      <c r="L1" s="823" t="s">
        <v>11</v>
      </c>
      <c r="M1" s="840" t="s">
        <v>12</v>
      </c>
      <c r="N1" s="840" t="s">
        <v>13</v>
      </c>
      <c r="O1" s="841" t="s">
        <v>14</v>
      </c>
      <c r="P1" s="841" t="s">
        <v>15</v>
      </c>
      <c r="Q1" s="823" t="s">
        <v>16</v>
      </c>
      <c r="R1" s="851" t="s">
        <v>17</v>
      </c>
      <c r="S1" s="851" t="s">
        <v>18</v>
      </c>
      <c r="T1" s="851" t="s">
        <v>19</v>
      </c>
      <c r="U1" s="852" t="s">
        <v>20</v>
      </c>
      <c r="V1" s="823" t="s">
        <v>21</v>
      </c>
      <c r="W1" s="853" t="s">
        <v>22</v>
      </c>
      <c r="X1" s="854" t="s">
        <v>23</v>
      </c>
      <c r="Y1" s="867" t="s">
        <v>24</v>
      </c>
      <c r="Z1" s="867" t="s">
        <v>25</v>
      </c>
      <c r="AA1" s="841" t="s">
        <v>26</v>
      </c>
      <c r="AB1" s="841" t="s">
        <v>27</v>
      </c>
      <c r="AC1" s="841" t="s">
        <v>28</v>
      </c>
      <c r="AD1" s="868" t="s">
        <v>29</v>
      </c>
      <c r="AE1" s="868" t="s">
        <v>30</v>
      </c>
      <c r="AF1" s="869" t="s">
        <v>31</v>
      </c>
      <c r="AG1" s="876" t="s">
        <v>32</v>
      </c>
      <c r="AH1" s="869" t="s">
        <v>33</v>
      </c>
      <c r="AI1" s="877" t="s">
        <v>1112</v>
      </c>
      <c r="AJ1" s="877" t="s">
        <v>1113</v>
      </c>
      <c r="AK1" s="877" t="s">
        <v>1114</v>
      </c>
      <c r="AL1" s="878" t="s">
        <v>1115</v>
      </c>
      <c r="AM1" s="878" t="s">
        <v>104</v>
      </c>
      <c r="AN1" s="879" t="s">
        <v>105</v>
      </c>
      <c r="AO1" s="879" t="s">
        <v>1116</v>
      </c>
      <c r="AP1" s="877" t="s">
        <v>106</v>
      </c>
      <c r="AQ1" s="881" t="s">
        <v>1117</v>
      </c>
      <c r="AR1" s="879" t="s">
        <v>1118</v>
      </c>
      <c r="AS1" s="879" t="s">
        <v>107</v>
      </c>
      <c r="AT1" s="877" t="s">
        <v>1119</v>
      </c>
      <c r="AU1" s="877" t="s">
        <v>1120</v>
      </c>
      <c r="AV1" s="879" t="s">
        <v>1121</v>
      </c>
      <c r="AW1" s="877" t="s">
        <v>113</v>
      </c>
      <c r="AX1" s="877" t="s">
        <v>114</v>
      </c>
      <c r="AY1" s="879" t="s">
        <v>115</v>
      </c>
      <c r="AZ1" s="882" t="s">
        <v>1122</v>
      </c>
      <c r="BA1" s="877" t="s">
        <v>117</v>
      </c>
      <c r="BB1" s="879" t="s">
        <v>118</v>
      </c>
      <c r="BC1" s="882" t="s">
        <v>1123</v>
      </c>
      <c r="BD1" s="879" t="s">
        <v>120</v>
      </c>
      <c r="BE1" s="877" t="s">
        <v>121</v>
      </c>
      <c r="BF1" s="879" t="s">
        <v>122</v>
      </c>
      <c r="BG1" s="883" t="s">
        <v>123</v>
      </c>
      <c r="BH1" s="879" t="s">
        <v>1124</v>
      </c>
      <c r="BI1" s="879" t="s">
        <v>1125</v>
      </c>
      <c r="BJ1" s="884" t="s">
        <v>1126</v>
      </c>
      <c r="BK1" s="884" t="s">
        <v>1127</v>
      </c>
      <c r="BL1" s="885" t="s">
        <v>1128</v>
      </c>
      <c r="BM1" s="885" t="s">
        <v>1129</v>
      </c>
      <c r="BN1" s="886" t="s">
        <v>1130</v>
      </c>
      <c r="BO1" s="885" t="s">
        <v>1131</v>
      </c>
      <c r="BP1" s="879" t="s">
        <v>1132</v>
      </c>
      <c r="BQ1" s="879" t="s">
        <v>1133</v>
      </c>
      <c r="BR1" s="879" t="s">
        <v>1134</v>
      </c>
      <c r="BS1" s="887" t="s">
        <v>130</v>
      </c>
      <c r="BT1" s="887" t="s">
        <v>131</v>
      </c>
      <c r="BU1" s="887" t="s">
        <v>132</v>
      </c>
      <c r="BV1" s="887">
        <v>820000</v>
      </c>
      <c r="BW1" s="887">
        <v>300000</v>
      </c>
      <c r="BX1" s="887">
        <v>300000</v>
      </c>
      <c r="BY1" s="877">
        <v>200000</v>
      </c>
      <c r="BZ1" s="877">
        <f>400000+500000+300000</f>
        <v>1200000</v>
      </c>
      <c r="CA1" s="884" t="s">
        <v>1135</v>
      </c>
      <c r="CB1" s="890" t="s">
        <v>131</v>
      </c>
      <c r="CC1" s="887" t="s">
        <v>132</v>
      </c>
      <c r="CD1" s="887">
        <v>2000</v>
      </c>
      <c r="CE1" s="887">
        <v>13970</v>
      </c>
      <c r="CF1" s="887">
        <v>11700</v>
      </c>
      <c r="CG1" s="893">
        <f>22330+10000</f>
        <v>32330</v>
      </c>
    </row>
    <row r="2" s="802" customFormat="1" ht="31" hidden="1" customHeight="1" spans="1:85">
      <c r="A2" s="825">
        <v>45604</v>
      </c>
      <c r="B2" s="826" t="s">
        <v>1136</v>
      </c>
      <c r="C2" s="827" t="s">
        <v>63</v>
      </c>
      <c r="D2" s="828">
        <v>4500150141</v>
      </c>
      <c r="E2" s="826" t="s">
        <v>1137</v>
      </c>
      <c r="F2" s="829" t="s">
        <v>1138</v>
      </c>
      <c r="G2" s="830" t="s">
        <v>1139</v>
      </c>
      <c r="H2" s="830" t="s">
        <v>1140</v>
      </c>
      <c r="I2" s="830">
        <v>3120</v>
      </c>
      <c r="J2" s="830">
        <v>0</v>
      </c>
      <c r="K2" s="830">
        <v>52</v>
      </c>
      <c r="L2" s="842">
        <f t="shared" ref="L2:L9" si="0">I2/K2</f>
        <v>60</v>
      </c>
      <c r="M2" s="843">
        <v>45657</v>
      </c>
      <c r="N2" s="843">
        <v>45653</v>
      </c>
      <c r="O2" s="844"/>
      <c r="P2" s="845" t="s">
        <v>46</v>
      </c>
      <c r="Q2" s="830"/>
      <c r="R2" s="855">
        <v>45610</v>
      </c>
      <c r="S2" s="830" t="s">
        <v>58</v>
      </c>
      <c r="T2" s="855" t="s">
        <v>1141</v>
      </c>
      <c r="U2" s="856" t="s">
        <v>1142</v>
      </c>
      <c r="V2" s="857" t="s">
        <v>1143</v>
      </c>
      <c r="W2" s="858">
        <v>1.8967</v>
      </c>
      <c r="X2" s="859">
        <f>I2*W2</f>
        <v>5917.704</v>
      </c>
      <c r="Y2" s="830" t="s">
        <v>1144</v>
      </c>
      <c r="Z2" s="830" t="s">
        <v>1139</v>
      </c>
      <c r="AA2" s="830" t="s">
        <v>53</v>
      </c>
      <c r="AB2" s="870" t="s">
        <v>54</v>
      </c>
      <c r="AC2" s="830"/>
      <c r="AD2" s="871">
        <f>52+3068</f>
        <v>3120</v>
      </c>
      <c r="AE2" s="871">
        <f t="shared" ref="AE2:AE36" si="1">AD2-I2</f>
        <v>0</v>
      </c>
      <c r="AF2" s="872"/>
      <c r="AG2" s="830" t="s">
        <v>55</v>
      </c>
      <c r="AH2" s="830"/>
      <c r="AI2" s="830">
        <f>I2</f>
        <v>3120</v>
      </c>
      <c r="AJ2" s="830"/>
      <c r="AK2" s="830">
        <f>I2</f>
        <v>3120</v>
      </c>
      <c r="AN2" s="830"/>
      <c r="AO2" s="830"/>
      <c r="AQ2" s="830">
        <f>I2</f>
        <v>3120</v>
      </c>
      <c r="AR2" s="830"/>
      <c r="AS2" s="830"/>
      <c r="AT2" s="830"/>
      <c r="BA2" s="802">
        <f>AI2/13</f>
        <v>240</v>
      </c>
      <c r="BS2" s="888">
        <f>AI2+AJ2</f>
        <v>3120</v>
      </c>
      <c r="BT2" s="889">
        <f>2188428+BS2</f>
        <v>2191548</v>
      </c>
      <c r="BU2" s="888"/>
      <c r="BV2" s="888"/>
      <c r="BW2" s="888"/>
      <c r="BX2" s="888"/>
      <c r="BY2" s="891">
        <f>SUM(BV$1:BZ$1)-BT2</f>
        <v>628452</v>
      </c>
      <c r="CA2" s="805">
        <f>AU2+AV2+BC2+BD2</f>
        <v>0</v>
      </c>
      <c r="CB2" s="291">
        <f>46986.5714285714+CA2</f>
        <v>46986.5714285714</v>
      </c>
      <c r="CC2" s="888"/>
      <c r="CD2" s="888"/>
      <c r="CE2" s="888"/>
      <c r="CF2" s="888">
        <f>$CD$1+$CE$1+$CF$1+$CG$1-CB2</f>
        <v>13013.4285714286</v>
      </c>
      <c r="CG2" s="888"/>
    </row>
    <row r="3" s="802" customFormat="1" ht="31" hidden="1" customHeight="1" spans="1:85">
      <c r="A3" s="825">
        <v>45586</v>
      </c>
      <c r="B3" s="826" t="s">
        <v>1145</v>
      </c>
      <c r="C3" s="827" t="s">
        <v>84</v>
      </c>
      <c r="D3" s="828">
        <v>4500148421</v>
      </c>
      <c r="E3" s="826">
        <v>60190475</v>
      </c>
      <c r="F3" s="829" t="s">
        <v>1146</v>
      </c>
      <c r="G3" s="830" t="s">
        <v>1147</v>
      </c>
      <c r="H3" s="830" t="s">
        <v>1148</v>
      </c>
      <c r="I3" s="830">
        <v>3000</v>
      </c>
      <c r="J3" s="830">
        <v>0</v>
      </c>
      <c r="K3" s="830">
        <v>12</v>
      </c>
      <c r="L3" s="842">
        <f t="shared" si="0"/>
        <v>250</v>
      </c>
      <c r="M3" s="843">
        <v>45653</v>
      </c>
      <c r="N3" s="843">
        <v>45649</v>
      </c>
      <c r="O3" s="844"/>
      <c r="P3" s="845" t="s">
        <v>46</v>
      </c>
      <c r="Q3" s="830"/>
      <c r="R3" s="855" t="s">
        <v>1149</v>
      </c>
      <c r="S3" s="830" t="s">
        <v>58</v>
      </c>
      <c r="T3" s="855" t="s">
        <v>1150</v>
      </c>
      <c r="U3" s="856" t="s">
        <v>1151</v>
      </c>
      <c r="V3" s="857" t="s">
        <v>1152</v>
      </c>
      <c r="W3" s="858">
        <v>4.0635</v>
      </c>
      <c r="X3" s="859">
        <f>I3*W3</f>
        <v>12190.5</v>
      </c>
      <c r="Y3" s="830" t="s">
        <v>1153</v>
      </c>
      <c r="Z3" s="830" t="s">
        <v>1147</v>
      </c>
      <c r="AA3" s="830" t="s">
        <v>53</v>
      </c>
      <c r="AB3" s="870" t="s">
        <v>54</v>
      </c>
      <c r="AC3" s="830"/>
      <c r="AD3" s="871">
        <f>2988+12</f>
        <v>3000</v>
      </c>
      <c r="AE3" s="871">
        <f t="shared" si="1"/>
        <v>0</v>
      </c>
      <c r="AF3" s="872"/>
      <c r="AG3" s="830" t="s">
        <v>55</v>
      </c>
      <c r="AH3" s="830"/>
      <c r="AI3" s="830">
        <f>I3*2</f>
        <v>6000</v>
      </c>
      <c r="AJ3" s="830"/>
      <c r="AK3" s="830">
        <f>I3*2</f>
        <v>6000</v>
      </c>
      <c r="AN3" s="830"/>
      <c r="AO3" s="830"/>
      <c r="AQ3" s="830">
        <f>I3*2</f>
        <v>6000</v>
      </c>
      <c r="AR3" s="830"/>
      <c r="AS3" s="830"/>
      <c r="AT3" s="830"/>
      <c r="BL3" s="802">
        <f>I3</f>
        <v>3000</v>
      </c>
      <c r="BM3" s="802">
        <f>I3</f>
        <v>3000</v>
      </c>
      <c r="BO3" s="802">
        <f>I3</f>
        <v>3000</v>
      </c>
      <c r="BS3" s="888">
        <f>AI3+AJ3</f>
        <v>6000</v>
      </c>
      <c r="BT3" s="889">
        <f>BT2+BS3</f>
        <v>2197548</v>
      </c>
      <c r="BU3" s="888"/>
      <c r="BV3" s="888"/>
      <c r="BW3" s="888"/>
      <c r="BX3" s="888"/>
      <c r="BY3" s="891">
        <f t="shared" ref="BY3:BY66" si="2">SUM(BV$1:BZ$1)-BT3</f>
        <v>622452</v>
      </c>
      <c r="CA3" s="805">
        <f>AU3+AV3+BC3+BD3</f>
        <v>0</v>
      </c>
      <c r="CB3" s="888">
        <f>CB2+CA3</f>
        <v>46986.5714285714</v>
      </c>
      <c r="CC3" s="888"/>
      <c r="CD3" s="888"/>
      <c r="CE3" s="888"/>
      <c r="CF3" s="888">
        <f t="shared" ref="CF3:CF66" si="3">$CD$1+$CE$1+$CF$1+$CG$1-CB3</f>
        <v>13013.4285714286</v>
      </c>
      <c r="CG3" s="888"/>
    </row>
    <row r="4" s="802" customFormat="1" ht="31" customHeight="1" spans="1:85">
      <c r="A4" s="825">
        <v>45615</v>
      </c>
      <c r="B4" s="826" t="s">
        <v>747</v>
      </c>
      <c r="C4" s="827" t="s">
        <v>41</v>
      </c>
      <c r="D4" s="828">
        <v>4500151611</v>
      </c>
      <c r="E4" s="826">
        <v>5251213810</v>
      </c>
      <c r="F4" s="829" t="s">
        <v>1154</v>
      </c>
      <c r="G4" s="830" t="s">
        <v>1155</v>
      </c>
      <c r="H4" s="830" t="s">
        <v>1140</v>
      </c>
      <c r="I4" s="830">
        <v>15700</v>
      </c>
      <c r="J4" s="830">
        <v>0</v>
      </c>
      <c r="K4" s="830">
        <v>50</v>
      </c>
      <c r="L4" s="842">
        <f t="shared" si="0"/>
        <v>314</v>
      </c>
      <c r="M4" s="843">
        <v>45650</v>
      </c>
      <c r="N4" s="843">
        <v>45652</v>
      </c>
      <c r="O4" s="844" t="s">
        <v>1156</v>
      </c>
      <c r="P4" s="845" t="s">
        <v>46</v>
      </c>
      <c r="Q4" s="830"/>
      <c r="R4" s="855">
        <v>45631</v>
      </c>
      <c r="S4" s="830" t="s">
        <v>58</v>
      </c>
      <c r="T4" s="855" t="s">
        <v>1157</v>
      </c>
      <c r="U4" s="856" t="s">
        <v>1158</v>
      </c>
      <c r="V4" s="857" t="s">
        <v>79</v>
      </c>
      <c r="W4" s="858">
        <v>1.9784</v>
      </c>
      <c r="X4" s="859">
        <f>W4*I4</f>
        <v>31060.88</v>
      </c>
      <c r="Y4" s="830" t="s">
        <v>1159</v>
      </c>
      <c r="Z4" s="830" t="s">
        <v>1160</v>
      </c>
      <c r="AA4" s="830" t="s">
        <v>53</v>
      </c>
      <c r="AB4" s="870" t="s">
        <v>54</v>
      </c>
      <c r="AC4" s="830"/>
      <c r="AD4" s="871">
        <f>15700</f>
        <v>15700</v>
      </c>
      <c r="AE4" s="871">
        <f t="shared" si="1"/>
        <v>0</v>
      </c>
      <c r="AF4" s="872"/>
      <c r="AG4" s="830" t="s">
        <v>55</v>
      </c>
      <c r="AH4" s="830"/>
      <c r="AI4" s="830">
        <f t="shared" ref="AI4:AI18" si="4">I4</f>
        <v>15700</v>
      </c>
      <c r="AJ4" s="830"/>
      <c r="AK4" s="830"/>
      <c r="AN4" s="830">
        <f>I4</f>
        <v>15700</v>
      </c>
      <c r="AO4" s="830"/>
      <c r="AQ4" s="830">
        <f>I4</f>
        <v>15700</v>
      </c>
      <c r="AR4" s="830"/>
      <c r="AS4" s="830"/>
      <c r="AT4" s="830"/>
      <c r="BD4" s="802">
        <f>I4/25</f>
        <v>628</v>
      </c>
      <c r="BS4" s="888">
        <f t="shared" ref="BS4:BS67" si="5">AI4+AJ4</f>
        <v>15700</v>
      </c>
      <c r="BT4" s="889">
        <f t="shared" ref="BT4:BT67" si="6">BT3+BS4</f>
        <v>2213248</v>
      </c>
      <c r="BU4" s="888"/>
      <c r="BV4" s="888"/>
      <c r="BW4" s="888"/>
      <c r="BX4" s="888"/>
      <c r="BY4" s="891">
        <f t="shared" si="2"/>
        <v>606752</v>
      </c>
      <c r="CA4" s="805">
        <f t="shared" ref="CA4:CA67" si="7">AU4+AV4+BC4+BD4</f>
        <v>628</v>
      </c>
      <c r="CB4" s="888">
        <f t="shared" ref="CB4:CB67" si="8">CB3+CA4</f>
        <v>47614.5714285714</v>
      </c>
      <c r="CC4" s="888"/>
      <c r="CD4" s="888"/>
      <c r="CE4" s="888"/>
      <c r="CF4" s="888">
        <f t="shared" si="3"/>
        <v>12385.4285714286</v>
      </c>
      <c r="CG4" s="888"/>
    </row>
    <row r="5" s="802" customFormat="1" ht="31" hidden="1" customHeight="1" spans="1:85">
      <c r="A5" s="825">
        <v>45644</v>
      </c>
      <c r="B5" s="826" t="s">
        <v>1161</v>
      </c>
      <c r="C5" s="827" t="s">
        <v>84</v>
      </c>
      <c r="D5" s="828" t="s">
        <v>1162</v>
      </c>
      <c r="E5" s="826"/>
      <c r="F5" s="829"/>
      <c r="G5" s="830" t="s">
        <v>1163</v>
      </c>
      <c r="H5" s="830" t="s">
        <v>1140</v>
      </c>
      <c r="I5" s="830">
        <v>42616</v>
      </c>
      <c r="J5" s="830">
        <v>0</v>
      </c>
      <c r="K5" s="830">
        <v>24</v>
      </c>
      <c r="L5" s="842">
        <f t="shared" si="0"/>
        <v>1775.66666666667</v>
      </c>
      <c r="M5" s="843">
        <v>45667</v>
      </c>
      <c r="N5" s="843">
        <v>45663</v>
      </c>
      <c r="O5" s="844" t="s">
        <v>1164</v>
      </c>
      <c r="P5" s="845" t="s">
        <v>46</v>
      </c>
      <c r="Q5" s="830"/>
      <c r="R5" s="855" t="s">
        <v>57</v>
      </c>
      <c r="S5" s="830" t="s">
        <v>58</v>
      </c>
      <c r="T5" s="855" t="s">
        <v>1165</v>
      </c>
      <c r="U5" s="856" t="s">
        <v>1166</v>
      </c>
      <c r="V5" s="857" t="s">
        <v>793</v>
      </c>
      <c r="W5" s="858">
        <v>1.8043</v>
      </c>
      <c r="X5" s="859">
        <f>W5*I5</f>
        <v>76892.0488</v>
      </c>
      <c r="Y5" s="830" t="s">
        <v>1167</v>
      </c>
      <c r="Z5" s="830" t="s">
        <v>1163</v>
      </c>
      <c r="AA5" s="830" t="s">
        <v>53</v>
      </c>
      <c r="AB5" s="870" t="s">
        <v>1168</v>
      </c>
      <c r="AC5" s="830"/>
      <c r="AD5" s="871">
        <f>34112+8520</f>
        <v>42632</v>
      </c>
      <c r="AE5" s="871">
        <f t="shared" si="1"/>
        <v>16</v>
      </c>
      <c r="AF5" s="872"/>
      <c r="AG5" s="830" t="s">
        <v>55</v>
      </c>
      <c r="AH5" s="830"/>
      <c r="AI5" s="830">
        <f t="shared" si="4"/>
        <v>42616</v>
      </c>
      <c r="AJ5" s="830"/>
      <c r="AK5" s="830">
        <f>I5</f>
        <v>42616</v>
      </c>
      <c r="AN5" s="830"/>
      <c r="AO5" s="830"/>
      <c r="AQ5" s="830">
        <f>I5</f>
        <v>42616</v>
      </c>
      <c r="AR5" s="830"/>
      <c r="AS5" s="830"/>
      <c r="AT5" s="830"/>
      <c r="BS5" s="888">
        <f t="shared" si="5"/>
        <v>42616</v>
      </c>
      <c r="BT5" s="889">
        <f t="shared" si="6"/>
        <v>2255864</v>
      </c>
      <c r="BU5" s="888"/>
      <c r="BV5" s="888"/>
      <c r="BW5" s="888"/>
      <c r="BX5" s="888"/>
      <c r="BY5" s="891">
        <f t="shared" si="2"/>
        <v>564136</v>
      </c>
      <c r="CA5" s="805">
        <f t="shared" si="7"/>
        <v>0</v>
      </c>
      <c r="CB5" s="888">
        <f t="shared" si="8"/>
        <v>47614.5714285714</v>
      </c>
      <c r="CC5" s="888"/>
      <c r="CD5" s="888"/>
      <c r="CE5" s="888"/>
      <c r="CF5" s="888">
        <f t="shared" si="3"/>
        <v>12385.4285714286</v>
      </c>
      <c r="CG5" s="888"/>
    </row>
    <row r="6" s="802" customFormat="1" ht="31" customHeight="1" spans="1:85">
      <c r="A6" s="825">
        <v>45573</v>
      </c>
      <c r="B6" s="826" t="s">
        <v>1169</v>
      </c>
      <c r="C6" s="827" t="s">
        <v>1170</v>
      </c>
      <c r="D6" s="828">
        <v>4500146540</v>
      </c>
      <c r="E6" s="826"/>
      <c r="F6" s="829" t="s">
        <v>1171</v>
      </c>
      <c r="G6" s="830" t="s">
        <v>1155</v>
      </c>
      <c r="H6" s="830" t="s">
        <v>1140</v>
      </c>
      <c r="I6" s="830">
        <v>3200</v>
      </c>
      <c r="J6" s="830">
        <v>0</v>
      </c>
      <c r="K6" s="830">
        <v>50</v>
      </c>
      <c r="L6" s="842">
        <f t="shared" si="0"/>
        <v>64</v>
      </c>
      <c r="M6" s="843">
        <v>45659</v>
      </c>
      <c r="N6" s="843">
        <v>45654</v>
      </c>
      <c r="O6" s="844"/>
      <c r="P6" s="845" t="s">
        <v>46</v>
      </c>
      <c r="Q6" s="830"/>
      <c r="R6" s="855">
        <v>45580</v>
      </c>
      <c r="S6" s="830" t="s">
        <v>58</v>
      </c>
      <c r="T6" s="855" t="s">
        <v>1172</v>
      </c>
      <c r="U6" s="856" t="s">
        <v>1173</v>
      </c>
      <c r="V6" s="857" t="s">
        <v>653</v>
      </c>
      <c r="W6" s="858">
        <v>1.9961</v>
      </c>
      <c r="X6" s="859">
        <f>W6*I6</f>
        <v>6387.52</v>
      </c>
      <c r="Y6" s="830" t="s">
        <v>1174</v>
      </c>
      <c r="Z6" s="830" t="s">
        <v>1155</v>
      </c>
      <c r="AA6" s="830" t="s">
        <v>53</v>
      </c>
      <c r="AB6" s="870" t="s">
        <v>54</v>
      </c>
      <c r="AC6" s="830"/>
      <c r="AD6" s="871">
        <v>3200</v>
      </c>
      <c r="AE6" s="871">
        <f t="shared" si="1"/>
        <v>0</v>
      </c>
      <c r="AF6" s="872"/>
      <c r="AG6" s="830" t="s">
        <v>55</v>
      </c>
      <c r="AH6" s="830"/>
      <c r="AI6" s="830">
        <f t="shared" si="4"/>
        <v>3200</v>
      </c>
      <c r="AJ6" s="830"/>
      <c r="AK6" s="830">
        <f>I6</f>
        <v>3200</v>
      </c>
      <c r="AN6" s="830"/>
      <c r="AO6" s="830"/>
      <c r="AQ6" s="830">
        <f>I6</f>
        <v>3200</v>
      </c>
      <c r="AR6" s="830"/>
      <c r="AS6" s="830"/>
      <c r="AT6" s="830"/>
      <c r="BC6" s="802">
        <f>I6/25</f>
        <v>128</v>
      </c>
      <c r="BS6" s="888">
        <f t="shared" si="5"/>
        <v>3200</v>
      </c>
      <c r="BT6" s="889">
        <f t="shared" si="6"/>
        <v>2259064</v>
      </c>
      <c r="BU6" s="888"/>
      <c r="BV6" s="888"/>
      <c r="BW6" s="888"/>
      <c r="BX6" s="888"/>
      <c r="BY6" s="891">
        <f t="shared" si="2"/>
        <v>560936</v>
      </c>
      <c r="CA6" s="805">
        <f t="shared" si="7"/>
        <v>128</v>
      </c>
      <c r="CB6" s="888">
        <f t="shared" si="8"/>
        <v>47742.5714285714</v>
      </c>
      <c r="CC6" s="888"/>
      <c r="CD6" s="888"/>
      <c r="CE6" s="888"/>
      <c r="CF6" s="888">
        <f t="shared" si="3"/>
        <v>12257.4285714286</v>
      </c>
      <c r="CG6" s="888"/>
    </row>
    <row r="7" s="802" customFormat="1" ht="31" customHeight="1" spans="1:85">
      <c r="A7" s="825">
        <v>45621</v>
      </c>
      <c r="B7" s="826" t="s">
        <v>1175</v>
      </c>
      <c r="C7" s="827" t="s">
        <v>929</v>
      </c>
      <c r="D7" s="828">
        <v>4500152280</v>
      </c>
      <c r="E7" s="826"/>
      <c r="F7" s="829" t="s">
        <v>1176</v>
      </c>
      <c r="G7" s="830" t="s">
        <v>1155</v>
      </c>
      <c r="H7" s="830" t="s">
        <v>1140</v>
      </c>
      <c r="I7" s="830">
        <v>250</v>
      </c>
      <c r="J7" s="830">
        <v>0</v>
      </c>
      <c r="K7" s="830">
        <v>50</v>
      </c>
      <c r="L7" s="842">
        <f t="shared" si="0"/>
        <v>5</v>
      </c>
      <c r="M7" s="843">
        <v>45660</v>
      </c>
      <c r="N7" s="843">
        <v>45656</v>
      </c>
      <c r="O7" s="844"/>
      <c r="P7" s="845" t="s">
        <v>46</v>
      </c>
      <c r="Q7" s="830"/>
      <c r="R7" s="855">
        <v>45623</v>
      </c>
      <c r="S7" s="830" t="s">
        <v>58</v>
      </c>
      <c r="T7" s="855" t="s">
        <v>58</v>
      </c>
      <c r="U7" s="856" t="s">
        <v>1177</v>
      </c>
      <c r="V7" s="857" t="s">
        <v>653</v>
      </c>
      <c r="W7" s="858">
        <v>2.0019</v>
      </c>
      <c r="X7" s="859">
        <f>W7*I7</f>
        <v>500.475</v>
      </c>
      <c r="Y7" s="830" t="s">
        <v>1178</v>
      </c>
      <c r="Z7" s="830" t="s">
        <v>1155</v>
      </c>
      <c r="AA7" s="830" t="s">
        <v>53</v>
      </c>
      <c r="AB7" s="870" t="s">
        <v>54</v>
      </c>
      <c r="AC7" s="830"/>
      <c r="AD7" s="871">
        <v>250</v>
      </c>
      <c r="AE7" s="871">
        <f t="shared" si="1"/>
        <v>0</v>
      </c>
      <c r="AF7" s="872"/>
      <c r="AG7" s="830" t="s">
        <v>58</v>
      </c>
      <c r="AH7" s="830"/>
      <c r="AI7" s="830">
        <f t="shared" si="4"/>
        <v>250</v>
      </c>
      <c r="AJ7" s="830"/>
      <c r="AK7" s="830">
        <f>I7</f>
        <v>250</v>
      </c>
      <c r="AN7" s="830"/>
      <c r="AO7" s="830"/>
      <c r="AQ7" s="830">
        <f>I7</f>
        <v>250</v>
      </c>
      <c r="AR7" s="830"/>
      <c r="AS7" s="830"/>
      <c r="AT7" s="830"/>
      <c r="BC7" s="802">
        <f>I7/25</f>
        <v>10</v>
      </c>
      <c r="BS7" s="888">
        <f t="shared" si="5"/>
        <v>250</v>
      </c>
      <c r="BT7" s="889">
        <f t="shared" si="6"/>
        <v>2259314</v>
      </c>
      <c r="BU7" s="888"/>
      <c r="BV7" s="888"/>
      <c r="BW7" s="888"/>
      <c r="BX7" s="888"/>
      <c r="BY7" s="891">
        <f t="shared" si="2"/>
        <v>560686</v>
      </c>
      <c r="CA7" s="805">
        <f t="shared" si="7"/>
        <v>10</v>
      </c>
      <c r="CB7" s="888">
        <f t="shared" si="8"/>
        <v>47752.5714285714</v>
      </c>
      <c r="CC7" s="888"/>
      <c r="CD7" s="888"/>
      <c r="CE7" s="888"/>
      <c r="CF7" s="888">
        <f t="shared" si="3"/>
        <v>12247.4285714286</v>
      </c>
      <c r="CG7" s="888"/>
    </row>
    <row r="8" s="802" customFormat="1" ht="31" hidden="1" customHeight="1" spans="1:85">
      <c r="A8" s="825">
        <v>45615</v>
      </c>
      <c r="B8" s="826" t="s">
        <v>1179</v>
      </c>
      <c r="C8" s="827" t="s">
        <v>84</v>
      </c>
      <c r="D8" s="828">
        <v>4500151779</v>
      </c>
      <c r="E8" s="826"/>
      <c r="F8" s="829" t="s">
        <v>1180</v>
      </c>
      <c r="G8" s="830" t="s">
        <v>1181</v>
      </c>
      <c r="H8" s="830" t="s">
        <v>1140</v>
      </c>
      <c r="I8" s="830">
        <v>1092</v>
      </c>
      <c r="J8" s="830">
        <v>0</v>
      </c>
      <c r="K8" s="830">
        <v>13</v>
      </c>
      <c r="L8" s="842">
        <f t="shared" si="0"/>
        <v>84</v>
      </c>
      <c r="M8" s="843">
        <v>45666</v>
      </c>
      <c r="N8" s="843">
        <v>45296</v>
      </c>
      <c r="O8" s="844" t="s">
        <v>1182</v>
      </c>
      <c r="P8" s="845" t="s">
        <v>46</v>
      </c>
      <c r="Q8" s="830" t="s">
        <v>1183</v>
      </c>
      <c r="R8" s="855">
        <v>45638</v>
      </c>
      <c r="S8" s="830" t="s">
        <v>58</v>
      </c>
      <c r="T8" s="855" t="s">
        <v>58</v>
      </c>
      <c r="U8" s="856" t="s">
        <v>1184</v>
      </c>
      <c r="V8" s="857" t="s">
        <v>1073</v>
      </c>
      <c r="W8" s="858">
        <v>1.9068</v>
      </c>
      <c r="X8" s="859">
        <f>I8*W8</f>
        <v>2082.2256</v>
      </c>
      <c r="Y8" s="830" t="s">
        <v>1185</v>
      </c>
      <c r="Z8" s="830" t="s">
        <v>1181</v>
      </c>
      <c r="AA8" s="830" t="s">
        <v>53</v>
      </c>
      <c r="AB8" s="870" t="s">
        <v>54</v>
      </c>
      <c r="AC8" s="830"/>
      <c r="AD8" s="871">
        <v>1092</v>
      </c>
      <c r="AE8" s="871">
        <f t="shared" si="1"/>
        <v>0</v>
      </c>
      <c r="AF8" s="872"/>
      <c r="AG8" s="830" t="s">
        <v>58</v>
      </c>
      <c r="AH8" s="830"/>
      <c r="AI8" s="830">
        <f t="shared" si="4"/>
        <v>1092</v>
      </c>
      <c r="AJ8" s="830"/>
      <c r="AK8" s="830">
        <f>I8</f>
        <v>1092</v>
      </c>
      <c r="AN8" s="830"/>
      <c r="AO8" s="830"/>
      <c r="AQ8" s="830">
        <f>I8</f>
        <v>1092</v>
      </c>
      <c r="AR8" s="830"/>
      <c r="AS8" s="830"/>
      <c r="AT8" s="830"/>
      <c r="BA8" s="802">
        <f>I8/13</f>
        <v>84</v>
      </c>
      <c r="BS8" s="888">
        <f t="shared" si="5"/>
        <v>1092</v>
      </c>
      <c r="BT8" s="889">
        <f t="shared" si="6"/>
        <v>2260406</v>
      </c>
      <c r="BU8" s="888"/>
      <c r="BV8" s="888"/>
      <c r="BW8" s="888"/>
      <c r="BX8" s="888"/>
      <c r="BY8" s="891">
        <f t="shared" si="2"/>
        <v>559594</v>
      </c>
      <c r="CA8" s="805">
        <f t="shared" si="7"/>
        <v>0</v>
      </c>
      <c r="CB8" s="888">
        <f t="shared" si="8"/>
        <v>47752.5714285714</v>
      </c>
      <c r="CC8" s="888"/>
      <c r="CD8" s="888"/>
      <c r="CE8" s="888"/>
      <c r="CF8" s="888">
        <f t="shared" si="3"/>
        <v>12247.4285714286</v>
      </c>
      <c r="CG8" s="888"/>
    </row>
    <row r="9" s="802" customFormat="1" ht="31" hidden="1" customHeight="1" spans="1:85">
      <c r="A9" s="825">
        <v>45621</v>
      </c>
      <c r="B9" s="826" t="s">
        <v>1186</v>
      </c>
      <c r="C9" s="827" t="s">
        <v>84</v>
      </c>
      <c r="D9" s="828">
        <v>4500152202</v>
      </c>
      <c r="E9" s="826" t="s">
        <v>1187</v>
      </c>
      <c r="F9" s="829" t="s">
        <v>1188</v>
      </c>
      <c r="G9" s="830" t="s">
        <v>1189</v>
      </c>
      <c r="H9" s="830" t="s">
        <v>1140</v>
      </c>
      <c r="I9" s="830">
        <v>3456</v>
      </c>
      <c r="J9" s="830">
        <v>0</v>
      </c>
      <c r="K9" s="830">
        <v>1152</v>
      </c>
      <c r="L9" s="842">
        <f t="shared" ref="L9:L72" si="9">I9/K9</f>
        <v>3</v>
      </c>
      <c r="M9" s="843">
        <v>45300</v>
      </c>
      <c r="N9" s="843">
        <v>45296</v>
      </c>
      <c r="O9" s="844" t="s">
        <v>1190</v>
      </c>
      <c r="P9" s="845" t="s">
        <v>46</v>
      </c>
      <c r="Q9" s="830"/>
      <c r="R9" s="855">
        <v>45621</v>
      </c>
      <c r="S9" s="830" t="s">
        <v>58</v>
      </c>
      <c r="T9" s="855" t="s">
        <v>1191</v>
      </c>
      <c r="U9" s="856" t="s">
        <v>1192</v>
      </c>
      <c r="V9" s="857" t="s">
        <v>207</v>
      </c>
      <c r="W9" s="858">
        <v>2182.1336</v>
      </c>
      <c r="X9" s="859">
        <v>6546.4008</v>
      </c>
      <c r="Y9" s="830" t="s">
        <v>1193</v>
      </c>
      <c r="Z9" s="830" t="s">
        <v>1189</v>
      </c>
      <c r="AA9" s="830" t="s">
        <v>53</v>
      </c>
      <c r="AB9" s="870" t="s">
        <v>54</v>
      </c>
      <c r="AC9" s="830"/>
      <c r="AD9" s="871">
        <v>3456</v>
      </c>
      <c r="AE9" s="871">
        <f t="shared" si="1"/>
        <v>0</v>
      </c>
      <c r="AF9" s="872"/>
      <c r="AG9" s="830"/>
      <c r="AH9" s="830"/>
      <c r="AI9" s="830">
        <f t="shared" si="4"/>
        <v>3456</v>
      </c>
      <c r="AJ9" s="830"/>
      <c r="AK9" s="830">
        <f t="shared" ref="AK9:AK18" si="10">I9</f>
        <v>3456</v>
      </c>
      <c r="AN9" s="830"/>
      <c r="AO9" s="830"/>
      <c r="AQ9" s="830"/>
      <c r="AR9" s="830"/>
      <c r="AS9" s="830">
        <v>3456</v>
      </c>
      <c r="AT9" s="830"/>
      <c r="AX9" s="802">
        <f t="shared" ref="AX9:AX15" si="11">I9/12</f>
        <v>288</v>
      </c>
      <c r="BS9" s="888">
        <f t="shared" si="5"/>
        <v>3456</v>
      </c>
      <c r="BT9" s="889">
        <f t="shared" si="6"/>
        <v>2263862</v>
      </c>
      <c r="BU9" s="888"/>
      <c r="BV9" s="888"/>
      <c r="BW9" s="888"/>
      <c r="BX9" s="888"/>
      <c r="BY9" s="891">
        <f t="shared" si="2"/>
        <v>556138</v>
      </c>
      <c r="CA9" s="805">
        <f t="shared" si="7"/>
        <v>0</v>
      </c>
      <c r="CB9" s="888">
        <f t="shared" si="8"/>
        <v>47752.5714285714</v>
      </c>
      <c r="CC9" s="888"/>
      <c r="CD9" s="888"/>
      <c r="CE9" s="888"/>
      <c r="CF9" s="888">
        <f t="shared" si="3"/>
        <v>12247.4285714286</v>
      </c>
      <c r="CG9" s="888"/>
    </row>
    <row r="10" s="802" customFormat="1" ht="31" hidden="1" customHeight="1" spans="1:85">
      <c r="A10" s="825">
        <v>45621</v>
      </c>
      <c r="B10" s="826" t="s">
        <v>1186</v>
      </c>
      <c r="C10" s="827" t="s">
        <v>84</v>
      </c>
      <c r="D10" s="828">
        <v>4500152202</v>
      </c>
      <c r="E10" s="826" t="s">
        <v>1194</v>
      </c>
      <c r="F10" s="829" t="s">
        <v>1195</v>
      </c>
      <c r="G10" s="830" t="s">
        <v>1189</v>
      </c>
      <c r="H10" s="830" t="s">
        <v>1140</v>
      </c>
      <c r="I10" s="830">
        <v>3456</v>
      </c>
      <c r="J10" s="830">
        <v>0</v>
      </c>
      <c r="K10" s="830">
        <v>1152</v>
      </c>
      <c r="L10" s="842">
        <f t="shared" si="9"/>
        <v>3</v>
      </c>
      <c r="M10" s="843">
        <v>45300</v>
      </c>
      <c r="N10" s="843">
        <v>45296</v>
      </c>
      <c r="O10" s="844" t="s">
        <v>1190</v>
      </c>
      <c r="P10" s="845" t="s">
        <v>46</v>
      </c>
      <c r="Q10" s="830"/>
      <c r="R10" s="855">
        <v>45621</v>
      </c>
      <c r="S10" s="830" t="s">
        <v>58</v>
      </c>
      <c r="T10" s="855" t="s">
        <v>1191</v>
      </c>
      <c r="U10" s="856" t="s">
        <v>1192</v>
      </c>
      <c r="V10" s="857" t="s">
        <v>207</v>
      </c>
      <c r="W10" s="858">
        <v>2182.1336</v>
      </c>
      <c r="X10" s="859">
        <v>6546.4008</v>
      </c>
      <c r="Y10" s="830" t="s">
        <v>1193</v>
      </c>
      <c r="Z10" s="830" t="s">
        <v>1189</v>
      </c>
      <c r="AA10" s="830" t="s">
        <v>53</v>
      </c>
      <c r="AB10" s="870" t="s">
        <v>54</v>
      </c>
      <c r="AC10" s="830"/>
      <c r="AD10" s="871">
        <v>3456</v>
      </c>
      <c r="AE10" s="871">
        <f t="shared" si="1"/>
        <v>0</v>
      </c>
      <c r="AF10" s="872"/>
      <c r="AG10" s="830"/>
      <c r="AH10" s="830"/>
      <c r="AI10" s="830">
        <f t="shared" si="4"/>
        <v>3456</v>
      </c>
      <c r="AJ10" s="830"/>
      <c r="AK10" s="830">
        <f t="shared" si="10"/>
        <v>3456</v>
      </c>
      <c r="AN10" s="830"/>
      <c r="AO10" s="830"/>
      <c r="AQ10" s="830"/>
      <c r="AR10" s="830"/>
      <c r="AS10" s="830">
        <v>3456</v>
      </c>
      <c r="AT10" s="830"/>
      <c r="AX10" s="802">
        <f t="shared" si="11"/>
        <v>288</v>
      </c>
      <c r="BS10" s="888">
        <f t="shared" si="5"/>
        <v>3456</v>
      </c>
      <c r="BT10" s="889">
        <f t="shared" si="6"/>
        <v>2267318</v>
      </c>
      <c r="BU10" s="888"/>
      <c r="BV10" s="888"/>
      <c r="BW10" s="888"/>
      <c r="BX10" s="888"/>
      <c r="BY10" s="891">
        <f t="shared" si="2"/>
        <v>552682</v>
      </c>
      <c r="CA10" s="805">
        <f t="shared" si="7"/>
        <v>0</v>
      </c>
      <c r="CB10" s="888">
        <f t="shared" si="8"/>
        <v>47752.5714285714</v>
      </c>
      <c r="CC10" s="888"/>
      <c r="CD10" s="888"/>
      <c r="CE10" s="888"/>
      <c r="CF10" s="888">
        <f t="shared" si="3"/>
        <v>12247.4285714286</v>
      </c>
      <c r="CG10" s="888"/>
    </row>
    <row r="11" s="802" customFormat="1" ht="31" hidden="1" customHeight="1" spans="1:85">
      <c r="A11" s="825">
        <v>45621</v>
      </c>
      <c r="B11" s="826" t="s">
        <v>1186</v>
      </c>
      <c r="C11" s="827" t="s">
        <v>84</v>
      </c>
      <c r="D11" s="828">
        <v>4500152202</v>
      </c>
      <c r="E11" s="826" t="s">
        <v>1196</v>
      </c>
      <c r="F11" s="829" t="s">
        <v>1197</v>
      </c>
      <c r="G11" s="830" t="s">
        <v>1189</v>
      </c>
      <c r="H11" s="830" t="s">
        <v>1140</v>
      </c>
      <c r="I11" s="830">
        <v>5760</v>
      </c>
      <c r="J11" s="830">
        <v>0</v>
      </c>
      <c r="K11" s="830">
        <v>1152</v>
      </c>
      <c r="L11" s="842">
        <f t="shared" si="9"/>
        <v>5</v>
      </c>
      <c r="M11" s="843">
        <v>45300</v>
      </c>
      <c r="N11" s="843">
        <v>45296</v>
      </c>
      <c r="O11" s="844" t="s">
        <v>1190</v>
      </c>
      <c r="P11" s="845" t="s">
        <v>46</v>
      </c>
      <c r="Q11" s="830"/>
      <c r="R11" s="855">
        <v>45621</v>
      </c>
      <c r="S11" s="830" t="s">
        <v>58</v>
      </c>
      <c r="T11" s="855" t="s">
        <v>1191</v>
      </c>
      <c r="U11" s="856" t="s">
        <v>1192</v>
      </c>
      <c r="V11" s="857" t="s">
        <v>207</v>
      </c>
      <c r="W11" s="858">
        <v>2182.1336</v>
      </c>
      <c r="X11" s="859">
        <v>10910.668</v>
      </c>
      <c r="Y11" s="830" t="s">
        <v>1198</v>
      </c>
      <c r="Z11" s="830" t="s">
        <v>1189</v>
      </c>
      <c r="AA11" s="830" t="s">
        <v>53</v>
      </c>
      <c r="AB11" s="870" t="s">
        <v>54</v>
      </c>
      <c r="AC11" s="830"/>
      <c r="AD11" s="871">
        <v>5760</v>
      </c>
      <c r="AE11" s="871">
        <f t="shared" si="1"/>
        <v>0</v>
      </c>
      <c r="AF11" s="872"/>
      <c r="AG11" s="830"/>
      <c r="AH11" s="830"/>
      <c r="AI11" s="830">
        <f t="shared" si="4"/>
        <v>5760</v>
      </c>
      <c r="AJ11" s="830"/>
      <c r="AK11" s="830">
        <f t="shared" si="10"/>
        <v>5760</v>
      </c>
      <c r="AN11" s="830"/>
      <c r="AO11" s="830"/>
      <c r="AQ11" s="830"/>
      <c r="AR11" s="830"/>
      <c r="AS11" s="830">
        <v>5760</v>
      </c>
      <c r="AT11" s="830"/>
      <c r="AX11" s="802">
        <f t="shared" si="11"/>
        <v>480</v>
      </c>
      <c r="BS11" s="888">
        <f t="shared" si="5"/>
        <v>5760</v>
      </c>
      <c r="BT11" s="889">
        <f t="shared" si="6"/>
        <v>2273078</v>
      </c>
      <c r="BU11" s="888"/>
      <c r="BV11" s="888"/>
      <c r="BW11" s="888"/>
      <c r="BX11" s="888"/>
      <c r="BY11" s="891">
        <f t="shared" si="2"/>
        <v>546922</v>
      </c>
      <c r="CA11" s="805">
        <f t="shared" si="7"/>
        <v>0</v>
      </c>
      <c r="CB11" s="888">
        <f t="shared" si="8"/>
        <v>47752.5714285714</v>
      </c>
      <c r="CC11" s="888"/>
      <c r="CD11" s="888"/>
      <c r="CE11" s="888"/>
      <c r="CF11" s="888">
        <f t="shared" si="3"/>
        <v>12247.4285714286</v>
      </c>
      <c r="CG11" s="888"/>
    </row>
    <row r="12" s="802" customFormat="1" ht="31" hidden="1" customHeight="1" spans="1:85">
      <c r="A12" s="825">
        <v>45621</v>
      </c>
      <c r="B12" s="826" t="s">
        <v>1186</v>
      </c>
      <c r="C12" s="827" t="s">
        <v>84</v>
      </c>
      <c r="D12" s="828">
        <v>4500152202</v>
      </c>
      <c r="E12" s="826" t="s">
        <v>1199</v>
      </c>
      <c r="F12" s="829" t="s">
        <v>1200</v>
      </c>
      <c r="G12" s="830" t="s">
        <v>1189</v>
      </c>
      <c r="H12" s="830" t="s">
        <v>1140</v>
      </c>
      <c r="I12" s="830">
        <v>1152</v>
      </c>
      <c r="J12" s="830">
        <v>0</v>
      </c>
      <c r="K12" s="830">
        <v>1152</v>
      </c>
      <c r="L12" s="842">
        <f t="shared" si="9"/>
        <v>1</v>
      </c>
      <c r="M12" s="843">
        <v>45300</v>
      </c>
      <c r="N12" s="843">
        <v>45296</v>
      </c>
      <c r="O12" s="844" t="s">
        <v>1190</v>
      </c>
      <c r="P12" s="845" t="s">
        <v>46</v>
      </c>
      <c r="Q12" s="830"/>
      <c r="R12" s="855">
        <v>45621</v>
      </c>
      <c r="S12" s="830" t="s">
        <v>58</v>
      </c>
      <c r="T12" s="855" t="s">
        <v>1191</v>
      </c>
      <c r="U12" s="856" t="s">
        <v>1192</v>
      </c>
      <c r="V12" s="857" t="s">
        <v>207</v>
      </c>
      <c r="W12" s="858">
        <v>2182.1336</v>
      </c>
      <c r="X12" s="859">
        <v>2182.1336</v>
      </c>
      <c r="Y12" s="830" t="s">
        <v>1198</v>
      </c>
      <c r="Z12" s="830" t="s">
        <v>1189</v>
      </c>
      <c r="AA12" s="830" t="s">
        <v>53</v>
      </c>
      <c r="AB12" s="870" t="s">
        <v>54</v>
      </c>
      <c r="AC12" s="830"/>
      <c r="AD12" s="871">
        <v>1152</v>
      </c>
      <c r="AE12" s="871">
        <f t="shared" si="1"/>
        <v>0</v>
      </c>
      <c r="AF12" s="872"/>
      <c r="AG12" s="830"/>
      <c r="AH12" s="830"/>
      <c r="AI12" s="830">
        <f t="shared" si="4"/>
        <v>1152</v>
      </c>
      <c r="AJ12" s="830"/>
      <c r="AK12" s="830">
        <f t="shared" si="10"/>
        <v>1152</v>
      </c>
      <c r="AN12" s="830"/>
      <c r="AO12" s="830"/>
      <c r="AQ12" s="830"/>
      <c r="AR12" s="830"/>
      <c r="AS12" s="830">
        <v>1152</v>
      </c>
      <c r="AT12" s="830"/>
      <c r="AX12" s="802">
        <f t="shared" si="11"/>
        <v>96</v>
      </c>
      <c r="BS12" s="888">
        <f t="shared" si="5"/>
        <v>1152</v>
      </c>
      <c r="BT12" s="889">
        <f t="shared" si="6"/>
        <v>2274230</v>
      </c>
      <c r="BU12" s="888"/>
      <c r="BV12" s="888"/>
      <c r="BW12" s="888"/>
      <c r="BX12" s="888"/>
      <c r="BY12" s="891">
        <f t="shared" si="2"/>
        <v>545770</v>
      </c>
      <c r="CA12" s="805">
        <f t="shared" si="7"/>
        <v>0</v>
      </c>
      <c r="CB12" s="888">
        <f t="shared" si="8"/>
        <v>47752.5714285714</v>
      </c>
      <c r="CC12" s="888"/>
      <c r="CD12" s="888"/>
      <c r="CE12" s="888"/>
      <c r="CF12" s="888">
        <f t="shared" si="3"/>
        <v>12247.4285714286</v>
      </c>
      <c r="CG12" s="888"/>
    </row>
    <row r="13" s="802" customFormat="1" ht="31" hidden="1" customHeight="1" spans="1:85">
      <c r="A13" s="825">
        <v>45621</v>
      </c>
      <c r="B13" s="826" t="s">
        <v>1186</v>
      </c>
      <c r="C13" s="827" t="s">
        <v>84</v>
      </c>
      <c r="D13" s="828">
        <v>4500152202</v>
      </c>
      <c r="E13" s="826" t="s">
        <v>1201</v>
      </c>
      <c r="F13" s="829" t="s">
        <v>1202</v>
      </c>
      <c r="G13" s="830" t="s">
        <v>1189</v>
      </c>
      <c r="H13" s="830" t="s">
        <v>1140</v>
      </c>
      <c r="I13" s="830">
        <v>4608</v>
      </c>
      <c r="J13" s="830">
        <v>0</v>
      </c>
      <c r="K13" s="830">
        <v>1152</v>
      </c>
      <c r="L13" s="842">
        <f t="shared" si="9"/>
        <v>4</v>
      </c>
      <c r="M13" s="843">
        <v>45300</v>
      </c>
      <c r="N13" s="843">
        <v>45296</v>
      </c>
      <c r="O13" s="844" t="s">
        <v>1190</v>
      </c>
      <c r="P13" s="845" t="s">
        <v>46</v>
      </c>
      <c r="Q13" s="830"/>
      <c r="R13" s="855">
        <v>45621</v>
      </c>
      <c r="S13" s="830" t="s">
        <v>58</v>
      </c>
      <c r="T13" s="855" t="s">
        <v>1191</v>
      </c>
      <c r="U13" s="856" t="s">
        <v>1192</v>
      </c>
      <c r="V13" s="857" t="s">
        <v>207</v>
      </c>
      <c r="W13" s="858">
        <v>2182.1336</v>
      </c>
      <c r="X13" s="859">
        <v>8728.5344</v>
      </c>
      <c r="Y13" s="830" t="s">
        <v>1203</v>
      </c>
      <c r="Z13" s="830" t="s">
        <v>1189</v>
      </c>
      <c r="AA13" s="830" t="s">
        <v>53</v>
      </c>
      <c r="AB13" s="870" t="s">
        <v>54</v>
      </c>
      <c r="AC13" s="830"/>
      <c r="AD13" s="871">
        <v>4608</v>
      </c>
      <c r="AE13" s="871">
        <f t="shared" si="1"/>
        <v>0</v>
      </c>
      <c r="AF13" s="872"/>
      <c r="AG13" s="830"/>
      <c r="AH13" s="830"/>
      <c r="AI13" s="830">
        <f t="shared" si="4"/>
        <v>4608</v>
      </c>
      <c r="AJ13" s="830"/>
      <c r="AK13" s="830">
        <f t="shared" si="10"/>
        <v>4608</v>
      </c>
      <c r="AN13" s="830"/>
      <c r="AO13" s="830"/>
      <c r="AQ13" s="830"/>
      <c r="AR13" s="830"/>
      <c r="AS13" s="830">
        <v>4608</v>
      </c>
      <c r="AT13" s="830"/>
      <c r="AX13" s="802">
        <f t="shared" si="11"/>
        <v>384</v>
      </c>
      <c r="BS13" s="888">
        <f t="shared" si="5"/>
        <v>4608</v>
      </c>
      <c r="BT13" s="889">
        <f t="shared" si="6"/>
        <v>2278838</v>
      </c>
      <c r="BU13" s="888"/>
      <c r="BV13" s="888"/>
      <c r="BW13" s="888"/>
      <c r="BX13" s="888"/>
      <c r="BY13" s="891">
        <f t="shared" si="2"/>
        <v>541162</v>
      </c>
      <c r="CA13" s="805">
        <f t="shared" si="7"/>
        <v>0</v>
      </c>
      <c r="CB13" s="888">
        <f t="shared" si="8"/>
        <v>47752.5714285714</v>
      </c>
      <c r="CC13" s="888"/>
      <c r="CD13" s="888"/>
      <c r="CE13" s="888"/>
      <c r="CF13" s="888">
        <f t="shared" si="3"/>
        <v>12247.4285714286</v>
      </c>
      <c r="CG13" s="888"/>
    </row>
    <row r="14" s="802" customFormat="1" ht="31" hidden="1" customHeight="1" spans="1:85">
      <c r="A14" s="825">
        <v>45621</v>
      </c>
      <c r="B14" s="826" t="s">
        <v>1186</v>
      </c>
      <c r="C14" s="827" t="s">
        <v>84</v>
      </c>
      <c r="D14" s="828">
        <v>4500152202</v>
      </c>
      <c r="E14" s="826" t="s">
        <v>1204</v>
      </c>
      <c r="F14" s="829" t="s">
        <v>1205</v>
      </c>
      <c r="G14" s="830" t="s">
        <v>1189</v>
      </c>
      <c r="H14" s="830" t="s">
        <v>1140</v>
      </c>
      <c r="I14" s="830">
        <v>5760</v>
      </c>
      <c r="J14" s="830">
        <v>0</v>
      </c>
      <c r="K14" s="830">
        <v>1152</v>
      </c>
      <c r="L14" s="842">
        <f t="shared" si="9"/>
        <v>5</v>
      </c>
      <c r="M14" s="843">
        <v>45300</v>
      </c>
      <c r="N14" s="843">
        <v>45296</v>
      </c>
      <c r="O14" s="844" t="s">
        <v>1190</v>
      </c>
      <c r="P14" s="845" t="s">
        <v>46</v>
      </c>
      <c r="Q14" s="830"/>
      <c r="R14" s="855">
        <v>45621</v>
      </c>
      <c r="S14" s="830" t="s">
        <v>58</v>
      </c>
      <c r="T14" s="855" t="s">
        <v>1191</v>
      </c>
      <c r="U14" s="856" t="s">
        <v>1192</v>
      </c>
      <c r="V14" s="857" t="s">
        <v>207</v>
      </c>
      <c r="W14" s="858">
        <v>2182.1336</v>
      </c>
      <c r="X14" s="859">
        <v>10910.668</v>
      </c>
      <c r="Y14" s="830" t="s">
        <v>1193</v>
      </c>
      <c r="Z14" s="830" t="s">
        <v>1189</v>
      </c>
      <c r="AA14" s="830" t="s">
        <v>53</v>
      </c>
      <c r="AB14" s="870" t="s">
        <v>54</v>
      </c>
      <c r="AC14" s="830"/>
      <c r="AD14" s="871">
        <v>5760</v>
      </c>
      <c r="AE14" s="871">
        <f t="shared" si="1"/>
        <v>0</v>
      </c>
      <c r="AF14" s="872"/>
      <c r="AG14" s="830"/>
      <c r="AH14" s="830"/>
      <c r="AI14" s="830">
        <f t="shared" si="4"/>
        <v>5760</v>
      </c>
      <c r="AJ14" s="830"/>
      <c r="AK14" s="830">
        <f t="shared" si="10"/>
        <v>5760</v>
      </c>
      <c r="AN14" s="830"/>
      <c r="AO14" s="830"/>
      <c r="AQ14" s="830"/>
      <c r="AR14" s="830"/>
      <c r="AS14" s="830">
        <v>5760</v>
      </c>
      <c r="AT14" s="830"/>
      <c r="AX14" s="802">
        <f t="shared" si="11"/>
        <v>480</v>
      </c>
      <c r="BS14" s="888">
        <f t="shared" si="5"/>
        <v>5760</v>
      </c>
      <c r="BT14" s="889">
        <f t="shared" si="6"/>
        <v>2284598</v>
      </c>
      <c r="BU14" s="888"/>
      <c r="BV14" s="888"/>
      <c r="BW14" s="888"/>
      <c r="BX14" s="888"/>
      <c r="BY14" s="891">
        <f t="shared" si="2"/>
        <v>535402</v>
      </c>
      <c r="CA14" s="805">
        <f t="shared" si="7"/>
        <v>0</v>
      </c>
      <c r="CB14" s="888">
        <f t="shared" si="8"/>
        <v>47752.5714285714</v>
      </c>
      <c r="CC14" s="888"/>
      <c r="CD14" s="888"/>
      <c r="CE14" s="888"/>
      <c r="CF14" s="888">
        <f t="shared" si="3"/>
        <v>12247.4285714286</v>
      </c>
      <c r="CG14" s="888"/>
    </row>
    <row r="15" s="802" customFormat="1" ht="31" hidden="1" customHeight="1" spans="1:85">
      <c r="A15" s="825">
        <v>45621</v>
      </c>
      <c r="B15" s="826" t="s">
        <v>1186</v>
      </c>
      <c r="C15" s="827" t="s">
        <v>84</v>
      </c>
      <c r="D15" s="828">
        <v>4500152202</v>
      </c>
      <c r="E15" s="826" t="s">
        <v>1206</v>
      </c>
      <c r="F15" s="829" t="s">
        <v>1207</v>
      </c>
      <c r="G15" s="830" t="s">
        <v>1189</v>
      </c>
      <c r="H15" s="830" t="s">
        <v>1140</v>
      </c>
      <c r="I15" s="830">
        <v>2304</v>
      </c>
      <c r="J15" s="830">
        <v>0</v>
      </c>
      <c r="K15" s="830">
        <v>1152</v>
      </c>
      <c r="L15" s="842">
        <f t="shared" si="9"/>
        <v>2</v>
      </c>
      <c r="M15" s="843">
        <v>45300</v>
      </c>
      <c r="N15" s="843">
        <v>45296</v>
      </c>
      <c r="O15" s="844" t="s">
        <v>1190</v>
      </c>
      <c r="P15" s="845" t="s">
        <v>46</v>
      </c>
      <c r="Q15" s="830"/>
      <c r="R15" s="855">
        <v>45621</v>
      </c>
      <c r="S15" s="830" t="s">
        <v>58</v>
      </c>
      <c r="T15" s="855" t="s">
        <v>1191</v>
      </c>
      <c r="U15" s="856" t="s">
        <v>1192</v>
      </c>
      <c r="V15" s="857" t="s">
        <v>207</v>
      </c>
      <c r="W15" s="858">
        <v>2182.1336</v>
      </c>
      <c r="X15" s="859">
        <v>4364.2672</v>
      </c>
      <c r="Y15" s="830" t="s">
        <v>1198</v>
      </c>
      <c r="Z15" s="830" t="s">
        <v>1189</v>
      </c>
      <c r="AA15" s="830" t="s">
        <v>53</v>
      </c>
      <c r="AB15" s="870" t="s">
        <v>54</v>
      </c>
      <c r="AC15" s="830"/>
      <c r="AD15" s="871">
        <v>2304</v>
      </c>
      <c r="AE15" s="871">
        <f t="shared" si="1"/>
        <v>0</v>
      </c>
      <c r="AF15" s="872"/>
      <c r="AG15" s="830"/>
      <c r="AH15" s="830"/>
      <c r="AI15" s="830">
        <f t="shared" si="4"/>
        <v>2304</v>
      </c>
      <c r="AJ15" s="830"/>
      <c r="AK15" s="830">
        <f t="shared" si="10"/>
        <v>2304</v>
      </c>
      <c r="AN15" s="830"/>
      <c r="AO15" s="830"/>
      <c r="AQ15" s="830"/>
      <c r="AR15" s="830"/>
      <c r="AS15" s="830">
        <v>2304</v>
      </c>
      <c r="AT15" s="830"/>
      <c r="AX15" s="802">
        <f t="shared" si="11"/>
        <v>192</v>
      </c>
      <c r="BS15" s="888">
        <f t="shared" si="5"/>
        <v>2304</v>
      </c>
      <c r="BT15" s="889">
        <f t="shared" si="6"/>
        <v>2286902</v>
      </c>
      <c r="BU15" s="888"/>
      <c r="BV15" s="888"/>
      <c r="BW15" s="888"/>
      <c r="BX15" s="888"/>
      <c r="BY15" s="891">
        <f t="shared" si="2"/>
        <v>533098</v>
      </c>
      <c r="CA15" s="805">
        <f t="shared" si="7"/>
        <v>0</v>
      </c>
      <c r="CB15" s="888">
        <f t="shared" si="8"/>
        <v>47752.5714285714</v>
      </c>
      <c r="CC15" s="888"/>
      <c r="CD15" s="888"/>
      <c r="CE15" s="888"/>
      <c r="CF15" s="888">
        <f t="shared" si="3"/>
        <v>12247.4285714286</v>
      </c>
      <c r="CG15" s="888"/>
    </row>
    <row r="16" s="802" customFormat="1" ht="31" customHeight="1" spans="1:85">
      <c r="A16" s="825">
        <v>45618</v>
      </c>
      <c r="B16" s="826" t="s">
        <v>844</v>
      </c>
      <c r="C16" s="827" t="s">
        <v>753</v>
      </c>
      <c r="D16" s="828">
        <v>4500152087</v>
      </c>
      <c r="E16" s="826" t="s">
        <v>1208</v>
      </c>
      <c r="F16" s="829" t="s">
        <v>1209</v>
      </c>
      <c r="G16" s="830" t="s">
        <v>1155</v>
      </c>
      <c r="H16" s="830" t="s">
        <v>1140</v>
      </c>
      <c r="I16" s="830">
        <v>2000</v>
      </c>
      <c r="J16" s="830">
        <v>0</v>
      </c>
      <c r="K16" s="830">
        <v>50</v>
      </c>
      <c r="L16" s="842">
        <f t="shared" si="9"/>
        <v>40</v>
      </c>
      <c r="M16" s="843">
        <v>45660</v>
      </c>
      <c r="N16" s="843">
        <v>45656</v>
      </c>
      <c r="O16" s="844"/>
      <c r="P16" s="845" t="s">
        <v>46</v>
      </c>
      <c r="Q16" s="830"/>
      <c r="R16" s="855">
        <v>45623</v>
      </c>
      <c r="S16" s="830" t="s">
        <v>58</v>
      </c>
      <c r="T16" s="855">
        <v>45636</v>
      </c>
      <c r="U16" s="856" t="s">
        <v>1210</v>
      </c>
      <c r="V16" s="857" t="s">
        <v>653</v>
      </c>
      <c r="W16" s="858">
        <v>2.0019</v>
      </c>
      <c r="X16" s="859">
        <f>W16*I16</f>
        <v>4003.8</v>
      </c>
      <c r="Y16" s="830" t="s">
        <v>1211</v>
      </c>
      <c r="Z16" s="830" t="s">
        <v>1155</v>
      </c>
      <c r="AA16" s="830" t="s">
        <v>53</v>
      </c>
      <c r="AB16" s="870" t="s">
        <v>54</v>
      </c>
      <c r="AC16" s="830"/>
      <c r="AD16" s="871">
        <v>2000</v>
      </c>
      <c r="AE16" s="871">
        <f t="shared" si="1"/>
        <v>0</v>
      </c>
      <c r="AF16" s="872"/>
      <c r="AG16" s="830" t="s">
        <v>55</v>
      </c>
      <c r="AH16" s="830"/>
      <c r="AI16" s="830">
        <f t="shared" si="4"/>
        <v>2000</v>
      </c>
      <c r="AJ16" s="830"/>
      <c r="AK16" s="830">
        <f t="shared" si="10"/>
        <v>2000</v>
      </c>
      <c r="AN16" s="830"/>
      <c r="AO16" s="830"/>
      <c r="AQ16" s="830">
        <f>I16</f>
        <v>2000</v>
      </c>
      <c r="AR16" s="830"/>
      <c r="AS16" s="830"/>
      <c r="AT16" s="830"/>
      <c r="BC16" s="802">
        <f>I16/25</f>
        <v>80</v>
      </c>
      <c r="BS16" s="888">
        <f t="shared" si="5"/>
        <v>2000</v>
      </c>
      <c r="BT16" s="889">
        <f t="shared" si="6"/>
        <v>2288902</v>
      </c>
      <c r="BU16" s="888"/>
      <c r="BV16" s="888"/>
      <c r="BW16" s="888"/>
      <c r="BX16" s="888"/>
      <c r="BY16" s="891">
        <f t="shared" si="2"/>
        <v>531098</v>
      </c>
      <c r="CA16" s="805">
        <f t="shared" si="7"/>
        <v>80</v>
      </c>
      <c r="CB16" s="888">
        <f t="shared" si="8"/>
        <v>47832.5714285714</v>
      </c>
      <c r="CC16" s="888"/>
      <c r="CD16" s="888"/>
      <c r="CE16" s="888"/>
      <c r="CF16" s="888">
        <f t="shared" si="3"/>
        <v>12167.4285714286</v>
      </c>
      <c r="CG16" s="888"/>
    </row>
    <row r="17" s="802" customFormat="1" ht="31" hidden="1" customHeight="1" spans="1:85">
      <c r="A17" s="825">
        <v>45587</v>
      </c>
      <c r="B17" s="826" t="s">
        <v>1161</v>
      </c>
      <c r="C17" s="827" t="s">
        <v>84</v>
      </c>
      <c r="D17" s="828" t="s">
        <v>1212</v>
      </c>
      <c r="E17" s="826"/>
      <c r="F17" s="829"/>
      <c r="G17" s="830" t="s">
        <v>1163</v>
      </c>
      <c r="H17" s="830" t="s">
        <v>1140</v>
      </c>
      <c r="I17" s="830">
        <v>0</v>
      </c>
      <c r="J17" s="830">
        <v>0</v>
      </c>
      <c r="K17" s="830">
        <v>24</v>
      </c>
      <c r="L17" s="842">
        <f t="shared" si="9"/>
        <v>0</v>
      </c>
      <c r="M17" s="843">
        <v>45656</v>
      </c>
      <c r="N17" s="843">
        <v>45652</v>
      </c>
      <c r="O17" s="844"/>
      <c r="P17" s="845"/>
      <c r="Q17" s="830"/>
      <c r="R17" s="855" t="s">
        <v>57</v>
      </c>
      <c r="S17" s="830" t="s">
        <v>58</v>
      </c>
      <c r="T17" s="855" t="s">
        <v>1165</v>
      </c>
      <c r="U17" s="856" t="s">
        <v>1213</v>
      </c>
      <c r="V17" s="857" t="s">
        <v>793</v>
      </c>
      <c r="W17" s="858">
        <v>1.7942</v>
      </c>
      <c r="X17" s="859">
        <f>W17*I17</f>
        <v>0</v>
      </c>
      <c r="Y17" s="830"/>
      <c r="Z17" s="830" t="s">
        <v>1163</v>
      </c>
      <c r="AA17" s="830" t="s">
        <v>53</v>
      </c>
      <c r="AB17" s="870" t="s">
        <v>54</v>
      </c>
      <c r="AC17" s="830"/>
      <c r="AD17" s="871"/>
      <c r="AE17" s="871">
        <f t="shared" si="1"/>
        <v>0</v>
      </c>
      <c r="AF17" s="872"/>
      <c r="AG17" s="830" t="s">
        <v>55</v>
      </c>
      <c r="AH17" s="830"/>
      <c r="AI17" s="830">
        <f t="shared" si="4"/>
        <v>0</v>
      </c>
      <c r="AJ17" s="830"/>
      <c r="AK17" s="830">
        <f t="shared" si="10"/>
        <v>0</v>
      </c>
      <c r="AN17" s="830"/>
      <c r="AO17" s="830"/>
      <c r="AQ17" s="830">
        <f>I17</f>
        <v>0</v>
      </c>
      <c r="AR17" s="830"/>
      <c r="AS17" s="830"/>
      <c r="AT17" s="830"/>
      <c r="BS17" s="888">
        <f t="shared" si="5"/>
        <v>0</v>
      </c>
      <c r="BT17" s="889">
        <f t="shared" si="6"/>
        <v>2288902</v>
      </c>
      <c r="BU17" s="888"/>
      <c r="BV17" s="888"/>
      <c r="BW17" s="888"/>
      <c r="BX17" s="888"/>
      <c r="BY17" s="891">
        <f t="shared" si="2"/>
        <v>531098</v>
      </c>
      <c r="CA17" s="805">
        <f t="shared" si="7"/>
        <v>0</v>
      </c>
      <c r="CB17" s="888">
        <f t="shared" si="8"/>
        <v>47832.5714285714</v>
      </c>
      <c r="CC17" s="888"/>
      <c r="CD17" s="888"/>
      <c r="CE17" s="888"/>
      <c r="CF17" s="888">
        <f t="shared" si="3"/>
        <v>12167.4285714286</v>
      </c>
      <c r="CG17" s="888"/>
    </row>
    <row r="18" s="802" customFormat="1" ht="31" hidden="1" customHeight="1" spans="1:85">
      <c r="A18" s="825">
        <v>45604</v>
      </c>
      <c r="B18" s="826" t="s">
        <v>1214</v>
      </c>
      <c r="C18" s="827" t="s">
        <v>610</v>
      </c>
      <c r="D18" s="828">
        <v>4500150836</v>
      </c>
      <c r="E18" s="826"/>
      <c r="F18" s="829" t="s">
        <v>1215</v>
      </c>
      <c r="G18" s="830" t="s">
        <v>1139</v>
      </c>
      <c r="H18" s="830" t="s">
        <v>1140</v>
      </c>
      <c r="I18" s="830">
        <v>2028</v>
      </c>
      <c r="J18" s="830">
        <v>0</v>
      </c>
      <c r="K18" s="830">
        <v>52</v>
      </c>
      <c r="L18" s="842">
        <f t="shared" si="9"/>
        <v>39</v>
      </c>
      <c r="M18" s="843">
        <v>45657</v>
      </c>
      <c r="N18" s="843">
        <v>45653</v>
      </c>
      <c r="O18" s="844" t="s">
        <v>1216</v>
      </c>
      <c r="P18" s="845" t="s">
        <v>46</v>
      </c>
      <c r="Q18" s="830"/>
      <c r="R18" s="855">
        <v>45622</v>
      </c>
      <c r="S18" s="830" t="s">
        <v>58</v>
      </c>
      <c r="T18" s="855" t="s">
        <v>1217</v>
      </c>
      <c r="U18" s="856" t="s">
        <v>1218</v>
      </c>
      <c r="V18" s="857" t="s">
        <v>1219</v>
      </c>
      <c r="W18" s="858">
        <v>1.9026</v>
      </c>
      <c r="X18" s="859">
        <f>I18*W18</f>
        <v>3858.4728</v>
      </c>
      <c r="Y18" s="830" t="s">
        <v>1220</v>
      </c>
      <c r="Z18" s="830" t="s">
        <v>1139</v>
      </c>
      <c r="AA18" s="830" t="s">
        <v>53</v>
      </c>
      <c r="AB18" s="870" t="s">
        <v>54</v>
      </c>
      <c r="AC18" s="830"/>
      <c r="AD18" s="871">
        <f>1976+52</f>
        <v>2028</v>
      </c>
      <c r="AE18" s="871">
        <f t="shared" si="1"/>
        <v>0</v>
      </c>
      <c r="AF18" s="872"/>
      <c r="AG18" s="830" t="s">
        <v>55</v>
      </c>
      <c r="AH18" s="830"/>
      <c r="AI18" s="830">
        <f t="shared" si="4"/>
        <v>2028</v>
      </c>
      <c r="AJ18" s="830"/>
      <c r="AK18" s="830">
        <f t="shared" si="10"/>
        <v>2028</v>
      </c>
      <c r="AN18" s="830"/>
      <c r="AO18" s="830"/>
      <c r="AQ18" s="830">
        <f>I18</f>
        <v>2028</v>
      </c>
      <c r="AR18" s="830"/>
      <c r="AS18" s="830"/>
      <c r="AT18" s="830"/>
      <c r="BA18" s="802">
        <f>AI18/13</f>
        <v>156</v>
      </c>
      <c r="BS18" s="888">
        <f t="shared" si="5"/>
        <v>2028</v>
      </c>
      <c r="BT18" s="889">
        <f t="shared" si="6"/>
        <v>2290930</v>
      </c>
      <c r="BU18" s="888"/>
      <c r="BV18" s="888"/>
      <c r="BW18" s="888"/>
      <c r="BX18" s="888"/>
      <c r="BY18" s="891">
        <f t="shared" si="2"/>
        <v>529070</v>
      </c>
      <c r="CA18" s="805">
        <f t="shared" si="7"/>
        <v>0</v>
      </c>
      <c r="CB18" s="888">
        <f t="shared" si="8"/>
        <v>47832.5714285714</v>
      </c>
      <c r="CC18" s="888"/>
      <c r="CD18" s="888"/>
      <c r="CE18" s="888"/>
      <c r="CF18" s="888">
        <f t="shared" si="3"/>
        <v>12167.4285714286</v>
      </c>
      <c r="CG18" s="888"/>
    </row>
    <row r="19" s="802" customFormat="1" ht="31" hidden="1" customHeight="1" spans="1:85">
      <c r="A19" s="825">
        <v>45614</v>
      </c>
      <c r="B19" s="826" t="s">
        <v>1221</v>
      </c>
      <c r="C19" s="827" t="s">
        <v>84</v>
      </c>
      <c r="D19" s="828">
        <v>4500151472</v>
      </c>
      <c r="E19" s="826" t="s">
        <v>1222</v>
      </c>
      <c r="F19" s="829" t="s">
        <v>1223</v>
      </c>
      <c r="G19" s="830" t="s">
        <v>1147</v>
      </c>
      <c r="H19" s="830" t="s">
        <v>1148</v>
      </c>
      <c r="I19" s="830">
        <v>1800</v>
      </c>
      <c r="J19" s="830">
        <v>0</v>
      </c>
      <c r="K19" s="830">
        <v>12</v>
      </c>
      <c r="L19" s="842">
        <f t="shared" si="9"/>
        <v>150</v>
      </c>
      <c r="M19" s="843">
        <v>45663</v>
      </c>
      <c r="N19" s="843">
        <v>45659</v>
      </c>
      <c r="O19" s="844"/>
      <c r="P19" s="845" t="s">
        <v>46</v>
      </c>
      <c r="Q19" s="830"/>
      <c r="R19" s="855">
        <v>45614</v>
      </c>
      <c r="S19" s="830" t="s">
        <v>48</v>
      </c>
      <c r="T19" s="855">
        <v>45638</v>
      </c>
      <c r="U19" s="856" t="s">
        <v>1224</v>
      </c>
      <c r="V19" s="857" t="s">
        <v>1225</v>
      </c>
      <c r="W19" s="858">
        <v>4.1259</v>
      </c>
      <c r="X19" s="859">
        <f>I19*W19</f>
        <v>7426.62</v>
      </c>
      <c r="Y19" s="830" t="s">
        <v>1226</v>
      </c>
      <c r="Z19" s="830" t="s">
        <v>1147</v>
      </c>
      <c r="AA19" s="830" t="s">
        <v>53</v>
      </c>
      <c r="AB19" s="870" t="s">
        <v>54</v>
      </c>
      <c r="AC19" s="830"/>
      <c r="AD19" s="871">
        <v>1800</v>
      </c>
      <c r="AE19" s="871">
        <f t="shared" si="1"/>
        <v>0</v>
      </c>
      <c r="AF19" s="872"/>
      <c r="AG19" s="830" t="s">
        <v>55</v>
      </c>
      <c r="AH19" s="830"/>
      <c r="AI19" s="830">
        <f>I19*2</f>
        <v>3600</v>
      </c>
      <c r="AJ19" s="830"/>
      <c r="AK19" s="830">
        <f>I19*2</f>
        <v>3600</v>
      </c>
      <c r="AN19" s="830"/>
      <c r="AO19" s="830"/>
      <c r="AQ19" s="830">
        <f>I19*2</f>
        <v>3600</v>
      </c>
      <c r="AR19" s="830"/>
      <c r="AS19" s="830"/>
      <c r="AT19" s="830"/>
      <c r="BL19" s="802">
        <f>I19</f>
        <v>1800</v>
      </c>
      <c r="BM19" s="802">
        <f>I19</f>
        <v>1800</v>
      </c>
      <c r="BO19" s="802">
        <f>I19</f>
        <v>1800</v>
      </c>
      <c r="BS19" s="888">
        <f t="shared" si="5"/>
        <v>3600</v>
      </c>
      <c r="BT19" s="889">
        <f t="shared" si="6"/>
        <v>2294530</v>
      </c>
      <c r="BU19" s="888"/>
      <c r="BV19" s="888"/>
      <c r="BW19" s="888"/>
      <c r="BX19" s="888"/>
      <c r="BY19" s="891">
        <f t="shared" si="2"/>
        <v>525470</v>
      </c>
      <c r="CA19" s="805">
        <f t="shared" si="7"/>
        <v>0</v>
      </c>
      <c r="CB19" s="888">
        <f t="shared" si="8"/>
        <v>47832.5714285714</v>
      </c>
      <c r="CC19" s="888"/>
      <c r="CD19" s="888"/>
      <c r="CE19" s="888"/>
      <c r="CF19" s="888">
        <f t="shared" si="3"/>
        <v>12167.4285714286</v>
      </c>
      <c r="CG19" s="888"/>
    </row>
    <row r="20" s="802" customFormat="1" ht="31" hidden="1" customHeight="1" spans="1:85">
      <c r="A20" s="825">
        <v>45614</v>
      </c>
      <c r="B20" s="826" t="s">
        <v>1221</v>
      </c>
      <c r="C20" s="827" t="s">
        <v>84</v>
      </c>
      <c r="D20" s="828">
        <v>4500151472</v>
      </c>
      <c r="E20" s="826" t="s">
        <v>1227</v>
      </c>
      <c r="F20" s="829" t="s">
        <v>1228</v>
      </c>
      <c r="G20" s="830" t="s">
        <v>1147</v>
      </c>
      <c r="H20" s="830" t="s">
        <v>1148</v>
      </c>
      <c r="I20" s="830">
        <v>3600</v>
      </c>
      <c r="J20" s="830">
        <v>0</v>
      </c>
      <c r="K20" s="830">
        <v>12</v>
      </c>
      <c r="L20" s="842">
        <f t="shared" si="9"/>
        <v>300</v>
      </c>
      <c r="M20" s="843">
        <v>45663</v>
      </c>
      <c r="N20" s="843">
        <v>45659</v>
      </c>
      <c r="O20" s="844"/>
      <c r="P20" s="845" t="s">
        <v>46</v>
      </c>
      <c r="Q20" s="830"/>
      <c r="R20" s="855">
        <v>45614</v>
      </c>
      <c r="S20" s="830" t="s">
        <v>48</v>
      </c>
      <c r="T20" s="855">
        <v>45638</v>
      </c>
      <c r="U20" s="856" t="s">
        <v>1224</v>
      </c>
      <c r="V20" s="857" t="s">
        <v>1225</v>
      </c>
      <c r="W20" s="858">
        <v>4.1024</v>
      </c>
      <c r="X20" s="859">
        <f>I20*W20</f>
        <v>14768.64</v>
      </c>
      <c r="Y20" s="830" t="s">
        <v>1229</v>
      </c>
      <c r="Z20" s="830" t="s">
        <v>1147</v>
      </c>
      <c r="AA20" s="830" t="s">
        <v>53</v>
      </c>
      <c r="AB20" s="870" t="s">
        <v>54</v>
      </c>
      <c r="AC20" s="830"/>
      <c r="AD20" s="871">
        <v>3600</v>
      </c>
      <c r="AE20" s="871">
        <f t="shared" si="1"/>
        <v>0</v>
      </c>
      <c r="AF20" s="872"/>
      <c r="AG20" s="830" t="s">
        <v>55</v>
      </c>
      <c r="AH20" s="830"/>
      <c r="AI20" s="830">
        <f>I20*2</f>
        <v>7200</v>
      </c>
      <c r="AJ20" s="830"/>
      <c r="AK20" s="830">
        <f>I20*2</f>
        <v>7200</v>
      </c>
      <c r="AN20" s="830"/>
      <c r="AO20" s="830"/>
      <c r="AQ20" s="830">
        <f>I20*2</f>
        <v>7200</v>
      </c>
      <c r="AR20" s="830"/>
      <c r="AS20" s="830"/>
      <c r="AT20" s="830"/>
      <c r="BL20" s="802">
        <f>I20</f>
        <v>3600</v>
      </c>
      <c r="BM20" s="802">
        <f>I20</f>
        <v>3600</v>
      </c>
      <c r="BO20" s="802">
        <f>I20</f>
        <v>3600</v>
      </c>
      <c r="BS20" s="888">
        <f t="shared" si="5"/>
        <v>7200</v>
      </c>
      <c r="BT20" s="889">
        <f t="shared" si="6"/>
        <v>2301730</v>
      </c>
      <c r="BU20" s="888"/>
      <c r="BV20" s="888"/>
      <c r="BW20" s="888"/>
      <c r="BX20" s="888"/>
      <c r="BY20" s="891">
        <f t="shared" si="2"/>
        <v>518270</v>
      </c>
      <c r="CA20" s="805">
        <f t="shared" si="7"/>
        <v>0</v>
      </c>
      <c r="CB20" s="888">
        <f t="shared" si="8"/>
        <v>47832.5714285714</v>
      </c>
      <c r="CC20" s="888"/>
      <c r="CD20" s="888"/>
      <c r="CE20" s="888"/>
      <c r="CF20" s="888">
        <f t="shared" si="3"/>
        <v>12167.4285714286</v>
      </c>
      <c r="CG20" s="888"/>
    </row>
    <row r="21" s="802" customFormat="1" ht="31" hidden="1" customHeight="1" spans="1:85">
      <c r="A21" s="825">
        <v>45603</v>
      </c>
      <c r="B21" s="826" t="s">
        <v>1230</v>
      </c>
      <c r="C21" s="827" t="s">
        <v>84</v>
      </c>
      <c r="D21" s="828">
        <v>4500150308</v>
      </c>
      <c r="E21" s="826">
        <v>70054030</v>
      </c>
      <c r="F21" s="829" t="s">
        <v>1231</v>
      </c>
      <c r="G21" s="830" t="s">
        <v>1147</v>
      </c>
      <c r="H21" s="830" t="s">
        <v>1148</v>
      </c>
      <c r="I21" s="830">
        <v>600</v>
      </c>
      <c r="J21" s="830">
        <v>0</v>
      </c>
      <c r="K21" s="830">
        <v>12</v>
      </c>
      <c r="L21" s="842">
        <f t="shared" si="9"/>
        <v>50</v>
      </c>
      <c r="M21" s="843">
        <v>45670</v>
      </c>
      <c r="N21" s="843">
        <v>45666</v>
      </c>
      <c r="O21" s="844"/>
      <c r="P21" s="845" t="s">
        <v>46</v>
      </c>
      <c r="Q21" s="830"/>
      <c r="R21" s="855">
        <v>45610</v>
      </c>
      <c r="S21" s="830" t="s">
        <v>58</v>
      </c>
      <c r="T21" s="855" t="s">
        <v>1150</v>
      </c>
      <c r="U21" s="856" t="s">
        <v>1232</v>
      </c>
      <c r="V21" s="857" t="s">
        <v>1233</v>
      </c>
      <c r="W21" s="858">
        <v>4.1259</v>
      </c>
      <c r="X21" s="859">
        <f>I21*W21</f>
        <v>2475.54</v>
      </c>
      <c r="Y21" s="830" t="s">
        <v>1234</v>
      </c>
      <c r="Z21" s="830" t="s">
        <v>1147</v>
      </c>
      <c r="AA21" s="830" t="s">
        <v>53</v>
      </c>
      <c r="AB21" s="870" t="s">
        <v>54</v>
      </c>
      <c r="AC21" s="830"/>
      <c r="AD21" s="871">
        <v>600</v>
      </c>
      <c r="AE21" s="871">
        <f t="shared" si="1"/>
        <v>0</v>
      </c>
      <c r="AF21" s="872"/>
      <c r="AG21" s="830" t="s">
        <v>55</v>
      </c>
      <c r="AH21" s="830"/>
      <c r="AI21" s="830">
        <f>I21*2</f>
        <v>1200</v>
      </c>
      <c r="AJ21" s="830"/>
      <c r="AK21" s="830">
        <f>I21*2</f>
        <v>1200</v>
      </c>
      <c r="AN21" s="830"/>
      <c r="AO21" s="830"/>
      <c r="AQ21" s="830">
        <f>I21*2</f>
        <v>1200</v>
      </c>
      <c r="AR21" s="830"/>
      <c r="AS21" s="830"/>
      <c r="AT21" s="830"/>
      <c r="BL21" s="802">
        <f>I21</f>
        <v>600</v>
      </c>
      <c r="BM21" s="802">
        <f>I21</f>
        <v>600</v>
      </c>
      <c r="BO21" s="802">
        <f>I21</f>
        <v>600</v>
      </c>
      <c r="BS21" s="888">
        <f t="shared" si="5"/>
        <v>1200</v>
      </c>
      <c r="BT21" s="889">
        <f t="shared" si="6"/>
        <v>2302930</v>
      </c>
      <c r="BU21" s="888"/>
      <c r="BV21" s="888"/>
      <c r="BW21" s="888"/>
      <c r="BX21" s="888"/>
      <c r="BY21" s="891">
        <f t="shared" si="2"/>
        <v>517070</v>
      </c>
      <c r="CA21" s="805">
        <f t="shared" si="7"/>
        <v>0</v>
      </c>
      <c r="CB21" s="888">
        <f t="shared" si="8"/>
        <v>47832.5714285714</v>
      </c>
      <c r="CC21" s="888"/>
      <c r="CD21" s="888"/>
      <c r="CE21" s="888"/>
      <c r="CF21" s="888">
        <f t="shared" si="3"/>
        <v>12167.4285714286</v>
      </c>
      <c r="CG21" s="888"/>
    </row>
    <row r="22" s="802" customFormat="1" ht="31" hidden="1" customHeight="1" spans="1:85">
      <c r="A22" s="825">
        <v>45637</v>
      </c>
      <c r="B22" s="826" t="s">
        <v>1186</v>
      </c>
      <c r="C22" s="827" t="s">
        <v>84</v>
      </c>
      <c r="D22" s="828">
        <v>4500153681</v>
      </c>
      <c r="E22" s="826" t="s">
        <v>1235</v>
      </c>
      <c r="F22" s="829" t="s">
        <v>1236</v>
      </c>
      <c r="G22" s="830" t="s">
        <v>1189</v>
      </c>
      <c r="H22" s="830" t="s">
        <v>1140</v>
      </c>
      <c r="I22" s="830">
        <v>1152</v>
      </c>
      <c r="J22" s="830">
        <v>0</v>
      </c>
      <c r="K22" s="830">
        <v>1152</v>
      </c>
      <c r="L22" s="842">
        <f t="shared" si="9"/>
        <v>1</v>
      </c>
      <c r="M22" s="843">
        <v>45671</v>
      </c>
      <c r="N22" s="843">
        <v>45667</v>
      </c>
      <c r="O22" s="844" t="s">
        <v>1237</v>
      </c>
      <c r="P22" s="845" t="s">
        <v>46</v>
      </c>
      <c r="Q22" s="830"/>
      <c r="R22" s="855" t="s">
        <v>251</v>
      </c>
      <c r="S22" s="830" t="s">
        <v>58</v>
      </c>
      <c r="T22" s="855" t="s">
        <v>1238</v>
      </c>
      <c r="U22" s="856" t="s">
        <v>1239</v>
      </c>
      <c r="V22" s="857" t="s">
        <v>207</v>
      </c>
      <c r="W22" s="858">
        <v>2206.6131</v>
      </c>
      <c r="X22" s="859">
        <v>4364.2672</v>
      </c>
      <c r="Y22" s="830" t="s">
        <v>1240</v>
      </c>
      <c r="Z22" s="830" t="s">
        <v>1189</v>
      </c>
      <c r="AA22" s="830" t="s">
        <v>53</v>
      </c>
      <c r="AB22" s="870" t="s">
        <v>54</v>
      </c>
      <c r="AC22" s="830"/>
      <c r="AD22" s="871">
        <v>1152</v>
      </c>
      <c r="AE22" s="871">
        <f t="shared" si="1"/>
        <v>0</v>
      </c>
      <c r="AF22" s="872"/>
      <c r="AG22" s="830"/>
      <c r="AH22" s="830"/>
      <c r="AI22" s="830">
        <f>I22</f>
        <v>1152</v>
      </c>
      <c r="AJ22" s="830"/>
      <c r="AK22" s="830">
        <f>I22</f>
        <v>1152</v>
      </c>
      <c r="AN22" s="830"/>
      <c r="AO22" s="830"/>
      <c r="AQ22" s="830"/>
      <c r="AR22" s="830"/>
      <c r="AS22" s="830">
        <f>I22</f>
        <v>1152</v>
      </c>
      <c r="AT22" s="830"/>
      <c r="AX22" s="802">
        <f t="shared" ref="AX22:AX28" si="12">I22/12</f>
        <v>96</v>
      </c>
      <c r="BS22" s="888">
        <f t="shared" si="5"/>
        <v>1152</v>
      </c>
      <c r="BT22" s="889">
        <f t="shared" si="6"/>
        <v>2304082</v>
      </c>
      <c r="BU22" s="888"/>
      <c r="BV22" s="888"/>
      <c r="BW22" s="888"/>
      <c r="BX22" s="888"/>
      <c r="BY22" s="891">
        <f t="shared" si="2"/>
        <v>515918</v>
      </c>
      <c r="CA22" s="805">
        <f t="shared" si="7"/>
        <v>0</v>
      </c>
      <c r="CB22" s="888">
        <f t="shared" si="8"/>
        <v>47832.5714285714</v>
      </c>
      <c r="CC22" s="888"/>
      <c r="CD22" s="888"/>
      <c r="CE22" s="888"/>
      <c r="CF22" s="888">
        <f t="shared" si="3"/>
        <v>12167.4285714286</v>
      </c>
      <c r="CG22" s="888"/>
    </row>
    <row r="23" s="802" customFormat="1" ht="31" hidden="1" customHeight="1" spans="1:85">
      <c r="A23" s="825">
        <v>45637</v>
      </c>
      <c r="B23" s="826" t="s">
        <v>1186</v>
      </c>
      <c r="C23" s="827" t="s">
        <v>84</v>
      </c>
      <c r="D23" s="828">
        <v>4500153681</v>
      </c>
      <c r="E23" s="826" t="s">
        <v>1241</v>
      </c>
      <c r="F23" s="829" t="s">
        <v>1242</v>
      </c>
      <c r="G23" s="830" t="s">
        <v>1189</v>
      </c>
      <c r="H23" s="830" t="s">
        <v>1140</v>
      </c>
      <c r="I23" s="830">
        <v>3456</v>
      </c>
      <c r="J23" s="830">
        <v>0</v>
      </c>
      <c r="K23" s="830">
        <v>1152</v>
      </c>
      <c r="L23" s="842">
        <f t="shared" si="9"/>
        <v>3</v>
      </c>
      <c r="M23" s="843">
        <v>45671</v>
      </c>
      <c r="N23" s="843">
        <v>45667</v>
      </c>
      <c r="O23" s="844" t="s">
        <v>1237</v>
      </c>
      <c r="P23" s="845" t="s">
        <v>46</v>
      </c>
      <c r="Q23" s="830"/>
      <c r="R23" s="855" t="s">
        <v>251</v>
      </c>
      <c r="S23" s="830" t="s">
        <v>58</v>
      </c>
      <c r="T23" s="855" t="s">
        <v>1238</v>
      </c>
      <c r="U23" s="856" t="s">
        <v>1239</v>
      </c>
      <c r="V23" s="857" t="s">
        <v>207</v>
      </c>
      <c r="W23" s="858">
        <v>2206.6131</v>
      </c>
      <c r="X23" s="859">
        <v>4364.2672</v>
      </c>
      <c r="Y23" s="830" t="s">
        <v>1243</v>
      </c>
      <c r="Z23" s="830" t="s">
        <v>1189</v>
      </c>
      <c r="AA23" s="830" t="s">
        <v>53</v>
      </c>
      <c r="AB23" s="870" t="s">
        <v>54</v>
      </c>
      <c r="AC23" s="830"/>
      <c r="AD23" s="871">
        <v>3456</v>
      </c>
      <c r="AE23" s="871">
        <f t="shared" si="1"/>
        <v>0</v>
      </c>
      <c r="AF23" s="872"/>
      <c r="AG23" s="830"/>
      <c r="AH23" s="830"/>
      <c r="AI23" s="830">
        <f t="shared" ref="AI23:AI28" si="13">I23</f>
        <v>3456</v>
      </c>
      <c r="AJ23" s="830"/>
      <c r="AK23" s="830">
        <f t="shared" ref="AK23:AK28" si="14">I23</f>
        <v>3456</v>
      </c>
      <c r="AN23" s="830"/>
      <c r="AO23" s="830"/>
      <c r="AQ23" s="830"/>
      <c r="AR23" s="830"/>
      <c r="AS23" s="830">
        <f t="shared" ref="AS23:AS28" si="15">I23</f>
        <v>3456</v>
      </c>
      <c r="AT23" s="830"/>
      <c r="AX23" s="802">
        <f t="shared" si="12"/>
        <v>288</v>
      </c>
      <c r="BS23" s="888">
        <f t="shared" si="5"/>
        <v>3456</v>
      </c>
      <c r="BT23" s="889">
        <f t="shared" si="6"/>
        <v>2307538</v>
      </c>
      <c r="BU23" s="888"/>
      <c r="BV23" s="888"/>
      <c r="BW23" s="888"/>
      <c r="BX23" s="888"/>
      <c r="BY23" s="891">
        <f t="shared" si="2"/>
        <v>512462</v>
      </c>
      <c r="CA23" s="805">
        <f t="shared" si="7"/>
        <v>0</v>
      </c>
      <c r="CB23" s="888">
        <f t="shared" si="8"/>
        <v>47832.5714285714</v>
      </c>
      <c r="CC23" s="888"/>
      <c r="CD23" s="888"/>
      <c r="CE23" s="888"/>
      <c r="CF23" s="888">
        <f t="shared" si="3"/>
        <v>12167.4285714286</v>
      </c>
      <c r="CG23" s="888"/>
    </row>
    <row r="24" s="802" customFormat="1" ht="31" hidden="1" customHeight="1" spans="1:85">
      <c r="A24" s="825">
        <v>45637</v>
      </c>
      <c r="B24" s="826" t="s">
        <v>1186</v>
      </c>
      <c r="C24" s="827" t="s">
        <v>84</v>
      </c>
      <c r="D24" s="828">
        <v>4500153681</v>
      </c>
      <c r="E24" s="826" t="s">
        <v>1244</v>
      </c>
      <c r="F24" s="829" t="s">
        <v>1245</v>
      </c>
      <c r="G24" s="830" t="s">
        <v>1189</v>
      </c>
      <c r="H24" s="830" t="s">
        <v>1140</v>
      </c>
      <c r="I24" s="830">
        <v>1152</v>
      </c>
      <c r="J24" s="830">
        <v>0</v>
      </c>
      <c r="K24" s="830">
        <v>1152</v>
      </c>
      <c r="L24" s="842">
        <f t="shared" si="9"/>
        <v>1</v>
      </c>
      <c r="M24" s="843">
        <v>45671</v>
      </c>
      <c r="N24" s="843">
        <v>45667</v>
      </c>
      <c r="O24" s="844" t="s">
        <v>1237</v>
      </c>
      <c r="P24" s="845" t="s">
        <v>46</v>
      </c>
      <c r="Q24" s="830"/>
      <c r="R24" s="855" t="s">
        <v>251</v>
      </c>
      <c r="S24" s="830" t="s">
        <v>58</v>
      </c>
      <c r="T24" s="855" t="s">
        <v>1238</v>
      </c>
      <c r="U24" s="856" t="s">
        <v>1239</v>
      </c>
      <c r="V24" s="857" t="s">
        <v>207</v>
      </c>
      <c r="W24" s="858">
        <v>2206.6131</v>
      </c>
      <c r="X24" s="859">
        <v>4364.2672</v>
      </c>
      <c r="Y24" s="830" t="s">
        <v>1240</v>
      </c>
      <c r="Z24" s="830" t="s">
        <v>1189</v>
      </c>
      <c r="AA24" s="830" t="s">
        <v>53</v>
      </c>
      <c r="AB24" s="870" t="s">
        <v>54</v>
      </c>
      <c r="AC24" s="830"/>
      <c r="AD24" s="871">
        <v>1152</v>
      </c>
      <c r="AE24" s="871">
        <f t="shared" si="1"/>
        <v>0</v>
      </c>
      <c r="AF24" s="872"/>
      <c r="AG24" s="830"/>
      <c r="AH24" s="830"/>
      <c r="AI24" s="830">
        <f t="shared" si="13"/>
        <v>1152</v>
      </c>
      <c r="AJ24" s="830"/>
      <c r="AK24" s="830">
        <f t="shared" si="14"/>
        <v>1152</v>
      </c>
      <c r="AN24" s="830"/>
      <c r="AO24" s="830"/>
      <c r="AQ24" s="830"/>
      <c r="AR24" s="830"/>
      <c r="AS24" s="830">
        <f t="shared" si="15"/>
        <v>1152</v>
      </c>
      <c r="AT24" s="830"/>
      <c r="AX24" s="802">
        <f t="shared" si="12"/>
        <v>96</v>
      </c>
      <c r="BS24" s="888">
        <f t="shared" si="5"/>
        <v>1152</v>
      </c>
      <c r="BT24" s="889">
        <f t="shared" si="6"/>
        <v>2308690</v>
      </c>
      <c r="BU24" s="888"/>
      <c r="BV24" s="888"/>
      <c r="BW24" s="888"/>
      <c r="BX24" s="888"/>
      <c r="BY24" s="891">
        <f t="shared" si="2"/>
        <v>511310</v>
      </c>
      <c r="CA24" s="805">
        <f t="shared" si="7"/>
        <v>0</v>
      </c>
      <c r="CB24" s="888">
        <f t="shared" si="8"/>
        <v>47832.5714285714</v>
      </c>
      <c r="CC24" s="888"/>
      <c r="CD24" s="888"/>
      <c r="CE24" s="888"/>
      <c r="CF24" s="888">
        <f t="shared" si="3"/>
        <v>12167.4285714286</v>
      </c>
      <c r="CG24" s="888"/>
    </row>
    <row r="25" s="802" customFormat="1" ht="31" hidden="1" customHeight="1" spans="1:85">
      <c r="A25" s="825">
        <v>45637</v>
      </c>
      <c r="B25" s="826" t="s">
        <v>1186</v>
      </c>
      <c r="C25" s="827" t="s">
        <v>84</v>
      </c>
      <c r="D25" s="828">
        <v>4500153681</v>
      </c>
      <c r="E25" s="826" t="s">
        <v>1246</v>
      </c>
      <c r="F25" s="829" t="s">
        <v>1247</v>
      </c>
      <c r="G25" s="830" t="s">
        <v>1189</v>
      </c>
      <c r="H25" s="830" t="s">
        <v>1140</v>
      </c>
      <c r="I25" s="830">
        <v>2304</v>
      </c>
      <c r="J25" s="830">
        <v>0</v>
      </c>
      <c r="K25" s="830">
        <v>1152</v>
      </c>
      <c r="L25" s="842">
        <f t="shared" si="9"/>
        <v>2</v>
      </c>
      <c r="M25" s="843">
        <v>45671</v>
      </c>
      <c r="N25" s="843">
        <v>45667</v>
      </c>
      <c r="O25" s="844" t="s">
        <v>1237</v>
      </c>
      <c r="P25" s="845" t="s">
        <v>46</v>
      </c>
      <c r="Q25" s="830"/>
      <c r="R25" s="855" t="s">
        <v>251</v>
      </c>
      <c r="S25" s="830" t="s">
        <v>58</v>
      </c>
      <c r="T25" s="855" t="s">
        <v>1238</v>
      </c>
      <c r="U25" s="856" t="s">
        <v>1239</v>
      </c>
      <c r="V25" s="857" t="s">
        <v>207</v>
      </c>
      <c r="W25" s="858">
        <v>2206.6131</v>
      </c>
      <c r="X25" s="859">
        <v>4364.2672</v>
      </c>
      <c r="Y25" s="830" t="s">
        <v>1240</v>
      </c>
      <c r="Z25" s="830" t="s">
        <v>1189</v>
      </c>
      <c r="AA25" s="830" t="s">
        <v>53</v>
      </c>
      <c r="AB25" s="870" t="s">
        <v>54</v>
      </c>
      <c r="AC25" s="830"/>
      <c r="AD25" s="871">
        <v>2304</v>
      </c>
      <c r="AE25" s="871">
        <f t="shared" si="1"/>
        <v>0</v>
      </c>
      <c r="AF25" s="872"/>
      <c r="AG25" s="830"/>
      <c r="AH25" s="830"/>
      <c r="AI25" s="830">
        <f t="shared" si="13"/>
        <v>2304</v>
      </c>
      <c r="AJ25" s="830"/>
      <c r="AK25" s="830">
        <f t="shared" si="14"/>
        <v>2304</v>
      </c>
      <c r="AN25" s="830"/>
      <c r="AO25" s="830"/>
      <c r="AQ25" s="830"/>
      <c r="AR25" s="830"/>
      <c r="AS25" s="830">
        <f t="shared" si="15"/>
        <v>2304</v>
      </c>
      <c r="AT25" s="830"/>
      <c r="AX25" s="802">
        <f t="shared" si="12"/>
        <v>192</v>
      </c>
      <c r="BS25" s="888">
        <f t="shared" si="5"/>
        <v>2304</v>
      </c>
      <c r="BT25" s="889">
        <f t="shared" si="6"/>
        <v>2310994</v>
      </c>
      <c r="BU25" s="888"/>
      <c r="BV25" s="888"/>
      <c r="BW25" s="888"/>
      <c r="BX25" s="888"/>
      <c r="BY25" s="891">
        <f t="shared" si="2"/>
        <v>509006</v>
      </c>
      <c r="CA25" s="805">
        <f t="shared" si="7"/>
        <v>0</v>
      </c>
      <c r="CB25" s="888">
        <f t="shared" si="8"/>
        <v>47832.5714285714</v>
      </c>
      <c r="CC25" s="888"/>
      <c r="CD25" s="888"/>
      <c r="CE25" s="888"/>
      <c r="CF25" s="888">
        <f t="shared" si="3"/>
        <v>12167.4285714286</v>
      </c>
      <c r="CG25" s="888"/>
    </row>
    <row r="26" s="802" customFormat="1" ht="31" hidden="1" customHeight="1" spans="1:85">
      <c r="A26" s="825">
        <v>45637</v>
      </c>
      <c r="B26" s="826" t="s">
        <v>1186</v>
      </c>
      <c r="C26" s="827" t="s">
        <v>84</v>
      </c>
      <c r="D26" s="828">
        <v>4500153681</v>
      </c>
      <c r="E26" s="826" t="s">
        <v>1248</v>
      </c>
      <c r="F26" s="829" t="s">
        <v>1249</v>
      </c>
      <c r="G26" s="830" t="s">
        <v>1189</v>
      </c>
      <c r="H26" s="830" t="s">
        <v>1140</v>
      </c>
      <c r="I26" s="830">
        <v>2304</v>
      </c>
      <c r="J26" s="830">
        <v>0</v>
      </c>
      <c r="K26" s="830">
        <v>1152</v>
      </c>
      <c r="L26" s="842">
        <f t="shared" si="9"/>
        <v>2</v>
      </c>
      <c r="M26" s="843">
        <v>45671</v>
      </c>
      <c r="N26" s="843">
        <v>45667</v>
      </c>
      <c r="O26" s="844" t="s">
        <v>1237</v>
      </c>
      <c r="P26" s="845" t="s">
        <v>46</v>
      </c>
      <c r="Q26" s="830"/>
      <c r="R26" s="855" t="s">
        <v>251</v>
      </c>
      <c r="S26" s="830" t="s">
        <v>58</v>
      </c>
      <c r="T26" s="855" t="s">
        <v>1238</v>
      </c>
      <c r="U26" s="856" t="s">
        <v>1239</v>
      </c>
      <c r="V26" s="857" t="s">
        <v>207</v>
      </c>
      <c r="W26" s="858">
        <v>2206.6131</v>
      </c>
      <c r="X26" s="859">
        <v>4364.2672</v>
      </c>
      <c r="Y26" s="830" t="s">
        <v>1240</v>
      </c>
      <c r="Z26" s="830" t="s">
        <v>1189</v>
      </c>
      <c r="AA26" s="830" t="s">
        <v>53</v>
      </c>
      <c r="AB26" s="870" t="s">
        <v>54</v>
      </c>
      <c r="AC26" s="830"/>
      <c r="AD26" s="871">
        <v>2304</v>
      </c>
      <c r="AE26" s="871">
        <f t="shared" si="1"/>
        <v>0</v>
      </c>
      <c r="AF26" s="872"/>
      <c r="AG26" s="830"/>
      <c r="AH26" s="830"/>
      <c r="AI26" s="830">
        <f t="shared" si="13"/>
        <v>2304</v>
      </c>
      <c r="AJ26" s="830"/>
      <c r="AK26" s="830">
        <f t="shared" si="14"/>
        <v>2304</v>
      </c>
      <c r="AN26" s="830"/>
      <c r="AO26" s="830"/>
      <c r="AQ26" s="830"/>
      <c r="AR26" s="830"/>
      <c r="AS26" s="830">
        <f t="shared" si="15"/>
        <v>2304</v>
      </c>
      <c r="AT26" s="830"/>
      <c r="AX26" s="802">
        <f t="shared" si="12"/>
        <v>192</v>
      </c>
      <c r="BS26" s="888">
        <f t="shared" si="5"/>
        <v>2304</v>
      </c>
      <c r="BT26" s="889">
        <f t="shared" si="6"/>
        <v>2313298</v>
      </c>
      <c r="BU26" s="888"/>
      <c r="BV26" s="888"/>
      <c r="BW26" s="888"/>
      <c r="BX26" s="888"/>
      <c r="BY26" s="891">
        <f t="shared" si="2"/>
        <v>506702</v>
      </c>
      <c r="CA26" s="805">
        <f t="shared" si="7"/>
        <v>0</v>
      </c>
      <c r="CB26" s="888">
        <f t="shared" si="8"/>
        <v>47832.5714285714</v>
      </c>
      <c r="CC26" s="888"/>
      <c r="CD26" s="888"/>
      <c r="CE26" s="888"/>
      <c r="CF26" s="888">
        <f t="shared" si="3"/>
        <v>12167.4285714286</v>
      </c>
      <c r="CG26" s="888"/>
    </row>
    <row r="27" s="802" customFormat="1" ht="31" hidden="1" customHeight="1" spans="1:85">
      <c r="A27" s="825">
        <v>45637</v>
      </c>
      <c r="B27" s="826" t="s">
        <v>1186</v>
      </c>
      <c r="C27" s="827" t="s">
        <v>84</v>
      </c>
      <c r="D27" s="828">
        <v>4500153681</v>
      </c>
      <c r="E27" s="826" t="s">
        <v>1250</v>
      </c>
      <c r="F27" s="829" t="s">
        <v>1251</v>
      </c>
      <c r="G27" s="830" t="s">
        <v>1189</v>
      </c>
      <c r="H27" s="830" t="s">
        <v>1140</v>
      </c>
      <c r="I27" s="830">
        <v>3456</v>
      </c>
      <c r="J27" s="830">
        <v>0</v>
      </c>
      <c r="K27" s="830">
        <v>1152</v>
      </c>
      <c r="L27" s="842">
        <f t="shared" si="9"/>
        <v>3</v>
      </c>
      <c r="M27" s="843">
        <v>45671</v>
      </c>
      <c r="N27" s="843">
        <v>45667</v>
      </c>
      <c r="O27" s="844" t="s">
        <v>1237</v>
      </c>
      <c r="P27" s="845" t="s">
        <v>46</v>
      </c>
      <c r="Q27" s="830"/>
      <c r="R27" s="855" t="s">
        <v>251</v>
      </c>
      <c r="S27" s="830" t="s">
        <v>58</v>
      </c>
      <c r="T27" s="855" t="s">
        <v>1238</v>
      </c>
      <c r="U27" s="856" t="s">
        <v>1239</v>
      </c>
      <c r="V27" s="857" t="s">
        <v>207</v>
      </c>
      <c r="W27" s="858">
        <v>2206.6131</v>
      </c>
      <c r="X27" s="859">
        <v>4364.2672</v>
      </c>
      <c r="Y27" s="830" t="s">
        <v>1252</v>
      </c>
      <c r="Z27" s="830" t="s">
        <v>1189</v>
      </c>
      <c r="AA27" s="830" t="s">
        <v>53</v>
      </c>
      <c r="AB27" s="870" t="s">
        <v>54</v>
      </c>
      <c r="AC27" s="830"/>
      <c r="AD27" s="871">
        <v>3456</v>
      </c>
      <c r="AE27" s="871">
        <f t="shared" si="1"/>
        <v>0</v>
      </c>
      <c r="AF27" s="872"/>
      <c r="AG27" s="830"/>
      <c r="AH27" s="830"/>
      <c r="AI27" s="830">
        <f t="shared" si="13"/>
        <v>3456</v>
      </c>
      <c r="AJ27" s="830"/>
      <c r="AK27" s="830">
        <f t="shared" si="14"/>
        <v>3456</v>
      </c>
      <c r="AN27" s="830"/>
      <c r="AO27" s="830"/>
      <c r="AQ27" s="830"/>
      <c r="AR27" s="830"/>
      <c r="AS27" s="830">
        <f t="shared" si="15"/>
        <v>3456</v>
      </c>
      <c r="AT27" s="830"/>
      <c r="AX27" s="802">
        <f t="shared" si="12"/>
        <v>288</v>
      </c>
      <c r="BS27" s="888">
        <f t="shared" si="5"/>
        <v>3456</v>
      </c>
      <c r="BT27" s="889">
        <f t="shared" si="6"/>
        <v>2316754</v>
      </c>
      <c r="BU27" s="888"/>
      <c r="BV27" s="888"/>
      <c r="BW27" s="888"/>
      <c r="BX27" s="888"/>
      <c r="BY27" s="891">
        <f t="shared" si="2"/>
        <v>503246</v>
      </c>
      <c r="CA27" s="805">
        <f t="shared" si="7"/>
        <v>0</v>
      </c>
      <c r="CB27" s="888">
        <f t="shared" si="8"/>
        <v>47832.5714285714</v>
      </c>
      <c r="CC27" s="888"/>
      <c r="CD27" s="888"/>
      <c r="CE27" s="888"/>
      <c r="CF27" s="888">
        <f t="shared" si="3"/>
        <v>12167.4285714286</v>
      </c>
      <c r="CG27" s="888"/>
    </row>
    <row r="28" s="802" customFormat="1" ht="31" hidden="1" customHeight="1" spans="1:85">
      <c r="A28" s="825">
        <v>45637</v>
      </c>
      <c r="B28" s="826" t="s">
        <v>1186</v>
      </c>
      <c r="C28" s="827" t="s">
        <v>84</v>
      </c>
      <c r="D28" s="828">
        <v>4500153681</v>
      </c>
      <c r="E28" s="826" t="s">
        <v>1253</v>
      </c>
      <c r="F28" s="829" t="s">
        <v>1254</v>
      </c>
      <c r="G28" s="830" t="s">
        <v>1189</v>
      </c>
      <c r="H28" s="830" t="s">
        <v>1140</v>
      </c>
      <c r="I28" s="830">
        <v>1152</v>
      </c>
      <c r="J28" s="830">
        <v>0</v>
      </c>
      <c r="K28" s="830">
        <v>1152</v>
      </c>
      <c r="L28" s="842">
        <f t="shared" si="9"/>
        <v>1</v>
      </c>
      <c r="M28" s="843">
        <v>45671</v>
      </c>
      <c r="N28" s="843">
        <v>45667</v>
      </c>
      <c r="O28" s="844"/>
      <c r="P28" s="845" t="s">
        <v>46</v>
      </c>
      <c r="Q28" s="830"/>
      <c r="R28" s="855" t="s">
        <v>251</v>
      </c>
      <c r="S28" s="830" t="s">
        <v>58</v>
      </c>
      <c r="T28" s="855" t="s">
        <v>1238</v>
      </c>
      <c r="U28" s="856" t="s">
        <v>1239</v>
      </c>
      <c r="V28" s="857" t="s">
        <v>207</v>
      </c>
      <c r="W28" s="858">
        <v>2206.6131</v>
      </c>
      <c r="X28" s="859">
        <v>4364.2672</v>
      </c>
      <c r="Y28" s="830" t="s">
        <v>1240</v>
      </c>
      <c r="Z28" s="830" t="s">
        <v>1189</v>
      </c>
      <c r="AA28" s="830" t="s">
        <v>53</v>
      </c>
      <c r="AB28" s="870" t="s">
        <v>54</v>
      </c>
      <c r="AC28" s="830"/>
      <c r="AD28" s="871">
        <v>1152</v>
      </c>
      <c r="AE28" s="871">
        <f t="shared" si="1"/>
        <v>0</v>
      </c>
      <c r="AF28" s="872"/>
      <c r="AG28" s="830"/>
      <c r="AH28" s="830"/>
      <c r="AI28" s="830">
        <f t="shared" si="13"/>
        <v>1152</v>
      </c>
      <c r="AJ28" s="830"/>
      <c r="AK28" s="830">
        <f t="shared" si="14"/>
        <v>1152</v>
      </c>
      <c r="AN28" s="830"/>
      <c r="AO28" s="830"/>
      <c r="AQ28" s="830"/>
      <c r="AR28" s="830"/>
      <c r="AS28" s="830">
        <f t="shared" si="15"/>
        <v>1152</v>
      </c>
      <c r="AT28" s="830"/>
      <c r="AX28" s="802">
        <f t="shared" si="12"/>
        <v>96</v>
      </c>
      <c r="BS28" s="888">
        <f t="shared" si="5"/>
        <v>1152</v>
      </c>
      <c r="BT28" s="889">
        <f t="shared" si="6"/>
        <v>2317906</v>
      </c>
      <c r="BU28" s="888"/>
      <c r="BV28" s="888"/>
      <c r="BW28" s="888"/>
      <c r="BX28" s="888"/>
      <c r="BY28" s="891">
        <f t="shared" si="2"/>
        <v>502094</v>
      </c>
      <c r="CA28" s="805">
        <f t="shared" si="7"/>
        <v>0</v>
      </c>
      <c r="CB28" s="888">
        <f t="shared" si="8"/>
        <v>47832.5714285714</v>
      </c>
      <c r="CC28" s="888"/>
      <c r="CD28" s="888"/>
      <c r="CE28" s="888"/>
      <c r="CF28" s="888">
        <f t="shared" si="3"/>
        <v>12167.4285714286</v>
      </c>
      <c r="CG28" s="888"/>
    </row>
    <row r="29" s="802" customFormat="1" ht="31" hidden="1" customHeight="1" spans="1:85">
      <c r="A29" s="825">
        <v>45586</v>
      </c>
      <c r="B29" s="826" t="s">
        <v>1255</v>
      </c>
      <c r="C29" s="827" t="s">
        <v>84</v>
      </c>
      <c r="D29" s="828">
        <v>4500147801</v>
      </c>
      <c r="E29" s="826" t="s">
        <v>1256</v>
      </c>
      <c r="F29" s="829" t="s">
        <v>1257</v>
      </c>
      <c r="G29" s="830" t="s">
        <v>1147</v>
      </c>
      <c r="H29" s="830" t="s">
        <v>1148</v>
      </c>
      <c r="I29" s="830">
        <v>600</v>
      </c>
      <c r="J29" s="830">
        <v>0</v>
      </c>
      <c r="K29" s="830">
        <v>12</v>
      </c>
      <c r="L29" s="842">
        <f t="shared" si="9"/>
        <v>50</v>
      </c>
      <c r="M29" s="843">
        <v>45677</v>
      </c>
      <c r="N29" s="843">
        <v>45673</v>
      </c>
      <c r="O29" s="844"/>
      <c r="P29" s="845" t="s">
        <v>46</v>
      </c>
      <c r="Q29" s="830"/>
      <c r="R29" s="855">
        <v>45600</v>
      </c>
      <c r="S29" s="830" t="s">
        <v>58</v>
      </c>
      <c r="T29" s="855" t="s">
        <v>1258</v>
      </c>
      <c r="U29" s="856" t="s">
        <v>1259</v>
      </c>
      <c r="V29" s="857" t="s">
        <v>1260</v>
      </c>
      <c r="W29" s="858">
        <v>4.1259</v>
      </c>
      <c r="X29" s="859">
        <f>I29*W29</f>
        <v>2475.54</v>
      </c>
      <c r="Y29" s="830" t="s">
        <v>1261</v>
      </c>
      <c r="Z29" s="830" t="s">
        <v>1147</v>
      </c>
      <c r="AA29" s="830" t="s">
        <v>53</v>
      </c>
      <c r="AB29" s="870" t="s">
        <v>54</v>
      </c>
      <c r="AC29" s="830"/>
      <c r="AD29" s="871">
        <v>600</v>
      </c>
      <c r="AE29" s="871">
        <f t="shared" si="1"/>
        <v>0</v>
      </c>
      <c r="AF29" s="872"/>
      <c r="AG29" s="830" t="s">
        <v>55</v>
      </c>
      <c r="AH29" s="830"/>
      <c r="AI29" s="830">
        <f>I29*2</f>
        <v>1200</v>
      </c>
      <c r="AJ29" s="830"/>
      <c r="AK29" s="830">
        <f>I29*2</f>
        <v>1200</v>
      </c>
      <c r="AN29" s="830"/>
      <c r="AO29" s="830"/>
      <c r="AQ29" s="830">
        <f>I29*2</f>
        <v>1200</v>
      </c>
      <c r="AR29" s="830"/>
      <c r="AS29" s="830"/>
      <c r="AT29" s="830"/>
      <c r="BL29" s="802">
        <f>I29</f>
        <v>600</v>
      </c>
      <c r="BM29" s="802">
        <f>I29</f>
        <v>600</v>
      </c>
      <c r="BO29" s="802">
        <f>I29</f>
        <v>600</v>
      </c>
      <c r="BS29" s="888">
        <f t="shared" si="5"/>
        <v>1200</v>
      </c>
      <c r="BT29" s="889">
        <f t="shared" si="6"/>
        <v>2319106</v>
      </c>
      <c r="BU29" s="888"/>
      <c r="BV29" s="888"/>
      <c r="BW29" s="888"/>
      <c r="BX29" s="888"/>
      <c r="BY29" s="891">
        <f t="shared" si="2"/>
        <v>500894</v>
      </c>
      <c r="CA29" s="805">
        <f t="shared" si="7"/>
        <v>0</v>
      </c>
      <c r="CB29" s="888">
        <f t="shared" si="8"/>
        <v>47832.5714285714</v>
      </c>
      <c r="CC29" s="888"/>
      <c r="CD29" s="888"/>
      <c r="CE29" s="888"/>
      <c r="CF29" s="888">
        <f t="shared" si="3"/>
        <v>12167.4285714286</v>
      </c>
      <c r="CG29" s="888"/>
    </row>
    <row r="30" s="802" customFormat="1" ht="31" hidden="1" customHeight="1" spans="1:85">
      <c r="A30" s="825">
        <v>45586</v>
      </c>
      <c r="B30" s="826" t="s">
        <v>1255</v>
      </c>
      <c r="C30" s="827" t="s">
        <v>84</v>
      </c>
      <c r="D30" s="828">
        <v>4500147799</v>
      </c>
      <c r="E30" s="826" t="s">
        <v>1262</v>
      </c>
      <c r="F30" s="829" t="s">
        <v>1263</v>
      </c>
      <c r="G30" s="830" t="s">
        <v>1147</v>
      </c>
      <c r="H30" s="830" t="s">
        <v>1148</v>
      </c>
      <c r="I30" s="830">
        <v>600</v>
      </c>
      <c r="J30" s="830">
        <v>0</v>
      </c>
      <c r="K30" s="830">
        <v>12</v>
      </c>
      <c r="L30" s="842">
        <f t="shared" si="9"/>
        <v>50</v>
      </c>
      <c r="M30" s="843">
        <v>45677</v>
      </c>
      <c r="N30" s="843">
        <v>45673</v>
      </c>
      <c r="O30" s="844"/>
      <c r="P30" s="845" t="s">
        <v>46</v>
      </c>
      <c r="Q30" s="830"/>
      <c r="R30" s="855">
        <v>45600</v>
      </c>
      <c r="S30" s="830" t="s">
        <v>58</v>
      </c>
      <c r="T30" s="855" t="s">
        <v>1258</v>
      </c>
      <c r="U30" s="856" t="s">
        <v>1259</v>
      </c>
      <c r="V30" s="857" t="s">
        <v>1260</v>
      </c>
      <c r="W30" s="858">
        <v>4.087</v>
      </c>
      <c r="X30" s="859">
        <f>I30*W30</f>
        <v>2452.2</v>
      </c>
      <c r="Y30" s="830" t="s">
        <v>1264</v>
      </c>
      <c r="Z30" s="830" t="s">
        <v>1147</v>
      </c>
      <c r="AA30" s="830" t="s">
        <v>53</v>
      </c>
      <c r="AB30" s="870" t="s">
        <v>54</v>
      </c>
      <c r="AC30" s="830"/>
      <c r="AD30" s="871">
        <f>588+12</f>
        <v>600</v>
      </c>
      <c r="AE30" s="871">
        <f t="shared" si="1"/>
        <v>0</v>
      </c>
      <c r="AF30" s="872"/>
      <c r="AG30" s="830" t="s">
        <v>55</v>
      </c>
      <c r="AH30" s="830"/>
      <c r="AI30" s="830">
        <f>I30*2</f>
        <v>1200</v>
      </c>
      <c r="AJ30" s="830"/>
      <c r="AK30" s="830">
        <f>I30*2</f>
        <v>1200</v>
      </c>
      <c r="AN30" s="830"/>
      <c r="AO30" s="830"/>
      <c r="AQ30" s="830">
        <f>I30*2</f>
        <v>1200</v>
      </c>
      <c r="AR30" s="830"/>
      <c r="AS30" s="830"/>
      <c r="AT30" s="830"/>
      <c r="BL30" s="802">
        <f>I30</f>
        <v>600</v>
      </c>
      <c r="BM30" s="802">
        <f>I30</f>
        <v>600</v>
      </c>
      <c r="BO30" s="802">
        <f>I30</f>
        <v>600</v>
      </c>
      <c r="BS30" s="888">
        <f t="shared" si="5"/>
        <v>1200</v>
      </c>
      <c r="BT30" s="889">
        <f t="shared" si="6"/>
        <v>2320306</v>
      </c>
      <c r="BU30" s="888"/>
      <c r="BV30" s="888"/>
      <c r="BW30" s="888"/>
      <c r="BX30" s="888"/>
      <c r="BY30" s="891">
        <f t="shared" si="2"/>
        <v>499694</v>
      </c>
      <c r="CA30" s="805">
        <f t="shared" si="7"/>
        <v>0</v>
      </c>
      <c r="CB30" s="888">
        <f t="shared" si="8"/>
        <v>47832.5714285714</v>
      </c>
      <c r="CC30" s="888"/>
      <c r="CD30" s="888"/>
      <c r="CE30" s="888"/>
      <c r="CF30" s="888">
        <f t="shared" si="3"/>
        <v>12167.4285714286</v>
      </c>
      <c r="CG30" s="888"/>
    </row>
    <row r="31" s="802" customFormat="1" ht="31" hidden="1" customHeight="1" spans="1:85">
      <c r="A31" s="825">
        <v>45603</v>
      </c>
      <c r="B31" s="826" t="s">
        <v>1145</v>
      </c>
      <c r="C31" s="827" t="s">
        <v>84</v>
      </c>
      <c r="D31" s="828">
        <v>4500150464</v>
      </c>
      <c r="E31" s="826">
        <v>60190494</v>
      </c>
      <c r="F31" s="829" t="s">
        <v>1265</v>
      </c>
      <c r="G31" s="830" t="s">
        <v>1147</v>
      </c>
      <c r="H31" s="830" t="s">
        <v>1148</v>
      </c>
      <c r="I31" s="830">
        <v>2400</v>
      </c>
      <c r="J31" s="830">
        <v>0</v>
      </c>
      <c r="K31" s="830">
        <v>12</v>
      </c>
      <c r="L31" s="842">
        <f t="shared" si="9"/>
        <v>200</v>
      </c>
      <c r="M31" s="843">
        <v>45672</v>
      </c>
      <c r="N31" s="843">
        <v>45668</v>
      </c>
      <c r="O31" s="844"/>
      <c r="P31" s="845" t="s">
        <v>1266</v>
      </c>
      <c r="Q31" s="830"/>
      <c r="R31" s="855">
        <v>45610</v>
      </c>
      <c r="S31" s="830" t="s">
        <v>58</v>
      </c>
      <c r="T31" s="855" t="s">
        <v>1150</v>
      </c>
      <c r="U31" s="856" t="s">
        <v>1267</v>
      </c>
      <c r="V31" s="857" t="s">
        <v>1152</v>
      </c>
      <c r="W31" s="858">
        <v>4.1142</v>
      </c>
      <c r="X31" s="859">
        <f>I31*W31</f>
        <v>9874.08</v>
      </c>
      <c r="Y31" s="830" t="s">
        <v>1268</v>
      </c>
      <c r="Z31" s="830" t="s">
        <v>1147</v>
      </c>
      <c r="AA31" s="830" t="s">
        <v>53</v>
      </c>
      <c r="AB31" s="870" t="s">
        <v>54</v>
      </c>
      <c r="AC31" s="830"/>
      <c r="AD31" s="871">
        <f>2388+12</f>
        <v>2400</v>
      </c>
      <c r="AE31" s="871">
        <f t="shared" si="1"/>
        <v>0</v>
      </c>
      <c r="AF31" s="872"/>
      <c r="AG31" s="830" t="s">
        <v>55</v>
      </c>
      <c r="AH31" s="830"/>
      <c r="AI31" s="830">
        <f>I31*2</f>
        <v>4800</v>
      </c>
      <c r="AJ31" s="830"/>
      <c r="AK31" s="830">
        <f>I31*2</f>
        <v>4800</v>
      </c>
      <c r="AN31" s="830"/>
      <c r="AO31" s="830"/>
      <c r="AQ31" s="830">
        <f>I31*2</f>
        <v>4800</v>
      </c>
      <c r="AR31" s="830"/>
      <c r="AS31" s="830"/>
      <c r="AT31" s="830"/>
      <c r="BL31" s="802">
        <f>I31</f>
        <v>2400</v>
      </c>
      <c r="BM31" s="802">
        <f>I31</f>
        <v>2400</v>
      </c>
      <c r="BO31" s="802">
        <f>I31</f>
        <v>2400</v>
      </c>
      <c r="BS31" s="888">
        <f t="shared" si="5"/>
        <v>4800</v>
      </c>
      <c r="BT31" s="889">
        <f t="shared" si="6"/>
        <v>2325106</v>
      </c>
      <c r="BU31" s="888"/>
      <c r="BV31" s="888"/>
      <c r="BW31" s="888"/>
      <c r="BX31" s="888"/>
      <c r="BY31" s="891">
        <f t="shared" si="2"/>
        <v>494894</v>
      </c>
      <c r="CA31" s="805">
        <f t="shared" si="7"/>
        <v>0</v>
      </c>
      <c r="CB31" s="888">
        <f t="shared" si="8"/>
        <v>47832.5714285714</v>
      </c>
      <c r="CC31" s="888"/>
      <c r="CD31" s="888"/>
      <c r="CE31" s="888"/>
      <c r="CF31" s="888">
        <f t="shared" si="3"/>
        <v>12167.4285714286</v>
      </c>
      <c r="CG31" s="888"/>
    </row>
    <row r="32" s="802" customFormat="1" ht="31" customHeight="1" spans="1:85">
      <c r="A32" s="825">
        <v>45632</v>
      </c>
      <c r="B32" s="826" t="s">
        <v>1269</v>
      </c>
      <c r="C32" s="827" t="s">
        <v>573</v>
      </c>
      <c r="D32" s="828">
        <v>4500153372</v>
      </c>
      <c r="E32" s="826"/>
      <c r="F32" s="829" t="s">
        <v>1270</v>
      </c>
      <c r="G32" s="830" t="s">
        <v>1155</v>
      </c>
      <c r="H32" s="830" t="s">
        <v>1140</v>
      </c>
      <c r="I32" s="830">
        <v>1000</v>
      </c>
      <c r="J32" s="830">
        <v>0</v>
      </c>
      <c r="K32" s="830">
        <v>50</v>
      </c>
      <c r="L32" s="842">
        <f t="shared" si="9"/>
        <v>20</v>
      </c>
      <c r="M32" s="843">
        <v>45672</v>
      </c>
      <c r="N32" s="843">
        <v>45668</v>
      </c>
      <c r="O32" s="844"/>
      <c r="P32" s="845" t="s">
        <v>1266</v>
      </c>
      <c r="Q32" s="830" t="s">
        <v>1271</v>
      </c>
      <c r="R32" s="855">
        <v>45638</v>
      </c>
      <c r="S32" s="830" t="s">
        <v>58</v>
      </c>
      <c r="T32" s="855">
        <v>45638</v>
      </c>
      <c r="U32" s="856" t="s">
        <v>1272</v>
      </c>
      <c r="V32" s="857" t="s">
        <v>1273</v>
      </c>
      <c r="W32" s="858">
        <v>2.0019</v>
      </c>
      <c r="X32" s="859">
        <f>I32*W32</f>
        <v>2001.9</v>
      </c>
      <c r="Y32" s="830" t="s">
        <v>1274</v>
      </c>
      <c r="Z32" s="830" t="s">
        <v>1160</v>
      </c>
      <c r="AA32" s="830" t="s">
        <v>53</v>
      </c>
      <c r="AB32" s="870" t="s">
        <v>54</v>
      </c>
      <c r="AC32" s="830"/>
      <c r="AD32" s="871">
        <v>1000</v>
      </c>
      <c r="AE32" s="871">
        <f t="shared" si="1"/>
        <v>0</v>
      </c>
      <c r="AF32" s="872"/>
      <c r="AG32" s="830" t="s">
        <v>55</v>
      </c>
      <c r="AH32" s="830"/>
      <c r="AI32" s="830">
        <f>I32</f>
        <v>1000</v>
      </c>
      <c r="AJ32" s="830"/>
      <c r="AK32" s="830"/>
      <c r="AN32" s="830">
        <f>I32</f>
        <v>1000</v>
      </c>
      <c r="AO32" s="830"/>
      <c r="AQ32" s="830">
        <f>I32</f>
        <v>1000</v>
      </c>
      <c r="AR32" s="830"/>
      <c r="AS32" s="830"/>
      <c r="AT32" s="830"/>
      <c r="BD32" s="802">
        <f>I32/25</f>
        <v>40</v>
      </c>
      <c r="BS32" s="888">
        <f t="shared" si="5"/>
        <v>1000</v>
      </c>
      <c r="BT32" s="889">
        <f t="shared" si="6"/>
        <v>2326106</v>
      </c>
      <c r="BU32" s="888"/>
      <c r="BV32" s="888"/>
      <c r="BW32" s="888"/>
      <c r="BX32" s="888"/>
      <c r="BY32" s="891">
        <f t="shared" si="2"/>
        <v>493894</v>
      </c>
      <c r="CA32" s="805">
        <f t="shared" si="7"/>
        <v>40</v>
      </c>
      <c r="CB32" s="888">
        <f t="shared" si="8"/>
        <v>47872.5714285714</v>
      </c>
      <c r="CC32" s="888"/>
      <c r="CD32" s="888"/>
      <c r="CE32" s="888"/>
      <c r="CF32" s="888">
        <f t="shared" si="3"/>
        <v>12127.4285714286</v>
      </c>
      <c r="CG32" s="888"/>
    </row>
    <row r="33" s="802" customFormat="1" ht="31" hidden="1" customHeight="1" spans="1:85">
      <c r="A33" s="825">
        <v>45632</v>
      </c>
      <c r="B33" s="826" t="s">
        <v>794</v>
      </c>
      <c r="C33" s="827" t="s">
        <v>84</v>
      </c>
      <c r="D33" s="828" t="s">
        <v>1275</v>
      </c>
      <c r="E33" s="826"/>
      <c r="F33" s="829"/>
      <c r="G33" s="830" t="s">
        <v>1163</v>
      </c>
      <c r="H33" s="830" t="s">
        <v>1140</v>
      </c>
      <c r="I33" s="830">
        <v>640</v>
      </c>
      <c r="J33" s="830">
        <v>0</v>
      </c>
      <c r="K33" s="830">
        <v>24</v>
      </c>
      <c r="L33" s="842">
        <f t="shared" si="9"/>
        <v>26.6666666666667</v>
      </c>
      <c r="M33" s="843">
        <v>45674</v>
      </c>
      <c r="N33" s="843">
        <v>45670</v>
      </c>
      <c r="O33" s="844"/>
      <c r="P33" s="845" t="s">
        <v>1266</v>
      </c>
      <c r="Q33" s="830" t="s">
        <v>1276</v>
      </c>
      <c r="R33" s="855" t="s">
        <v>57</v>
      </c>
      <c r="S33" s="830" t="s">
        <v>58</v>
      </c>
      <c r="T33" s="855" t="s">
        <v>58</v>
      </c>
      <c r="U33" s="856" t="s">
        <v>1277</v>
      </c>
      <c r="V33" s="857" t="s">
        <v>1278</v>
      </c>
      <c r="W33" s="858">
        <v>1.8342</v>
      </c>
      <c r="X33" s="859">
        <f>W33*I33</f>
        <v>1173.888</v>
      </c>
      <c r="Y33" s="830" t="s">
        <v>1279</v>
      </c>
      <c r="Z33" s="830" t="s">
        <v>1163</v>
      </c>
      <c r="AA33" s="830" t="s">
        <v>53</v>
      </c>
      <c r="AB33" s="870" t="s">
        <v>54</v>
      </c>
      <c r="AC33" s="830"/>
      <c r="AD33" s="871">
        <v>640</v>
      </c>
      <c r="AE33" s="871">
        <f t="shared" si="1"/>
        <v>0</v>
      </c>
      <c r="AF33" s="872"/>
      <c r="AG33" s="830" t="s">
        <v>58</v>
      </c>
      <c r="AH33" s="830"/>
      <c r="AI33" s="830">
        <f t="shared" ref="AI33:AI44" si="16">I33</f>
        <v>640</v>
      </c>
      <c r="AJ33" s="830"/>
      <c r="AK33" s="830">
        <f>I33</f>
        <v>640</v>
      </c>
      <c r="AN33" s="830"/>
      <c r="AO33" s="830"/>
      <c r="AQ33" s="830">
        <f>I33</f>
        <v>640</v>
      </c>
      <c r="AR33" s="830"/>
      <c r="AS33" s="830"/>
      <c r="AT33" s="830"/>
      <c r="BS33" s="888">
        <f t="shared" si="5"/>
        <v>640</v>
      </c>
      <c r="BT33" s="889">
        <f t="shared" si="6"/>
        <v>2326746</v>
      </c>
      <c r="BU33" s="888"/>
      <c r="BV33" s="888"/>
      <c r="BW33" s="888"/>
      <c r="BX33" s="888"/>
      <c r="BY33" s="891">
        <f t="shared" si="2"/>
        <v>493254</v>
      </c>
      <c r="CA33" s="805">
        <f t="shared" si="7"/>
        <v>0</v>
      </c>
      <c r="CB33" s="888">
        <f t="shared" si="8"/>
        <v>47872.5714285714</v>
      </c>
      <c r="CC33" s="888"/>
      <c r="CD33" s="888"/>
      <c r="CE33" s="888"/>
      <c r="CF33" s="888">
        <f t="shared" si="3"/>
        <v>12127.4285714286</v>
      </c>
      <c r="CG33" s="888"/>
    </row>
    <row r="34" s="802" customFormat="1" ht="31" customHeight="1" spans="1:85">
      <c r="A34" s="825">
        <v>45639</v>
      </c>
      <c r="B34" s="826" t="s">
        <v>781</v>
      </c>
      <c r="C34" s="827" t="s">
        <v>648</v>
      </c>
      <c r="D34" s="828">
        <v>4500153836</v>
      </c>
      <c r="E34" s="826" t="s">
        <v>1280</v>
      </c>
      <c r="F34" s="829" t="s">
        <v>1281</v>
      </c>
      <c r="G34" s="830" t="s">
        <v>1155</v>
      </c>
      <c r="H34" s="830" t="s">
        <v>1140</v>
      </c>
      <c r="I34" s="830">
        <v>4600</v>
      </c>
      <c r="J34" s="830">
        <v>0</v>
      </c>
      <c r="K34" s="830">
        <v>50</v>
      </c>
      <c r="L34" s="842">
        <f t="shared" si="9"/>
        <v>92</v>
      </c>
      <c r="M34" s="843">
        <v>45677</v>
      </c>
      <c r="N34" s="843">
        <v>45673</v>
      </c>
      <c r="O34" s="844"/>
      <c r="P34" s="845" t="s">
        <v>1266</v>
      </c>
      <c r="Q34" s="830"/>
      <c r="R34" s="855">
        <v>45639</v>
      </c>
      <c r="S34" s="830" t="s">
        <v>58</v>
      </c>
      <c r="T34" s="855">
        <v>45643</v>
      </c>
      <c r="U34" s="856" t="s">
        <v>1282</v>
      </c>
      <c r="V34" s="857" t="s">
        <v>51</v>
      </c>
      <c r="W34" s="858">
        <v>1.9961</v>
      </c>
      <c r="X34" s="859">
        <f>I34*W34</f>
        <v>9182.06</v>
      </c>
      <c r="Y34" s="830" t="s">
        <v>1283</v>
      </c>
      <c r="Z34" s="830" t="s">
        <v>1160</v>
      </c>
      <c r="AA34" s="830" t="s">
        <v>53</v>
      </c>
      <c r="AB34" s="870" t="s">
        <v>54</v>
      </c>
      <c r="AC34" s="830"/>
      <c r="AD34" s="871">
        <f>2100+2500</f>
        <v>4600</v>
      </c>
      <c r="AE34" s="871">
        <f t="shared" ref="AE32:AE76" si="17">AD34-I34</f>
        <v>0</v>
      </c>
      <c r="AF34" s="872"/>
      <c r="AG34" s="830" t="s">
        <v>55</v>
      </c>
      <c r="AH34" s="830"/>
      <c r="AI34" s="830">
        <f t="shared" si="16"/>
        <v>4600</v>
      </c>
      <c r="AJ34" s="830"/>
      <c r="AK34" s="830"/>
      <c r="AN34" s="830">
        <f>I34</f>
        <v>4600</v>
      </c>
      <c r="AO34" s="830"/>
      <c r="AQ34" s="830">
        <f>I34</f>
        <v>4600</v>
      </c>
      <c r="AR34" s="830"/>
      <c r="AS34" s="830"/>
      <c r="AT34" s="830"/>
      <c r="BD34" s="802">
        <f>I34/25</f>
        <v>184</v>
      </c>
      <c r="BS34" s="888">
        <f t="shared" si="5"/>
        <v>4600</v>
      </c>
      <c r="BT34" s="889">
        <f t="shared" si="6"/>
        <v>2331346</v>
      </c>
      <c r="BU34" s="888"/>
      <c r="BV34" s="888"/>
      <c r="BW34" s="888"/>
      <c r="BX34" s="888"/>
      <c r="BY34" s="891">
        <f t="shared" si="2"/>
        <v>488654</v>
      </c>
      <c r="CA34" s="805">
        <f t="shared" si="7"/>
        <v>184</v>
      </c>
      <c r="CB34" s="888">
        <f t="shared" si="8"/>
        <v>48056.5714285714</v>
      </c>
      <c r="CC34" s="888"/>
      <c r="CD34" s="888"/>
      <c r="CE34" s="888"/>
      <c r="CF34" s="888">
        <f t="shared" si="3"/>
        <v>11943.4285714286</v>
      </c>
      <c r="CG34" s="888"/>
    </row>
    <row r="35" s="802" customFormat="1" ht="31" customHeight="1" spans="1:85">
      <c r="A35" s="825">
        <v>45639</v>
      </c>
      <c r="B35" s="826" t="s">
        <v>1284</v>
      </c>
      <c r="C35" s="827" t="s">
        <v>1285</v>
      </c>
      <c r="D35" s="828">
        <v>4500153864</v>
      </c>
      <c r="E35" s="826"/>
      <c r="F35" s="829" t="s">
        <v>1286</v>
      </c>
      <c r="G35" s="830" t="s">
        <v>1155</v>
      </c>
      <c r="H35" s="830" t="s">
        <v>1140</v>
      </c>
      <c r="I35" s="830">
        <v>750</v>
      </c>
      <c r="J35" s="830">
        <v>0</v>
      </c>
      <c r="K35" s="830">
        <v>50</v>
      </c>
      <c r="L35" s="842">
        <f t="shared" si="9"/>
        <v>15</v>
      </c>
      <c r="M35" s="843">
        <v>45677</v>
      </c>
      <c r="N35" s="843">
        <v>45673</v>
      </c>
      <c r="O35" s="844"/>
      <c r="P35" s="845" t="s">
        <v>1266</v>
      </c>
      <c r="Q35" s="830"/>
      <c r="R35" s="855">
        <v>45639</v>
      </c>
      <c r="S35" s="830" t="s">
        <v>58</v>
      </c>
      <c r="T35" s="855">
        <v>45644</v>
      </c>
      <c r="U35" s="856" t="s">
        <v>1287</v>
      </c>
      <c r="V35" s="857" t="s">
        <v>51</v>
      </c>
      <c r="W35" s="858">
        <v>2.0019</v>
      </c>
      <c r="X35" s="859">
        <f>I35*W35</f>
        <v>1501.425</v>
      </c>
      <c r="Y35" s="830" t="s">
        <v>1288</v>
      </c>
      <c r="Z35" s="830" t="s">
        <v>1160</v>
      </c>
      <c r="AA35" s="830" t="s">
        <v>53</v>
      </c>
      <c r="AB35" s="870" t="s">
        <v>54</v>
      </c>
      <c r="AC35" s="830"/>
      <c r="AD35" s="871">
        <v>750</v>
      </c>
      <c r="AE35" s="871">
        <f t="shared" si="17"/>
        <v>0</v>
      </c>
      <c r="AF35" s="872"/>
      <c r="AG35" s="830" t="s">
        <v>55</v>
      </c>
      <c r="AH35" s="830"/>
      <c r="AI35" s="830">
        <f t="shared" si="16"/>
        <v>750</v>
      </c>
      <c r="AJ35" s="830"/>
      <c r="AK35" s="830"/>
      <c r="AN35" s="830">
        <f>I35</f>
        <v>750</v>
      </c>
      <c r="AO35" s="830"/>
      <c r="AQ35" s="830">
        <f>I35</f>
        <v>750</v>
      </c>
      <c r="AR35" s="830"/>
      <c r="AS35" s="830"/>
      <c r="AT35" s="830"/>
      <c r="BD35" s="802">
        <f>I35/25</f>
        <v>30</v>
      </c>
      <c r="BS35" s="888">
        <f t="shared" si="5"/>
        <v>750</v>
      </c>
      <c r="BT35" s="889">
        <f t="shared" si="6"/>
        <v>2332096</v>
      </c>
      <c r="BU35" s="888"/>
      <c r="BV35" s="888"/>
      <c r="BW35" s="888"/>
      <c r="BX35" s="888"/>
      <c r="BY35" s="891">
        <f t="shared" si="2"/>
        <v>487904</v>
      </c>
      <c r="CA35" s="805">
        <f t="shared" si="7"/>
        <v>30</v>
      </c>
      <c r="CB35" s="888">
        <f t="shared" si="8"/>
        <v>48086.5714285714</v>
      </c>
      <c r="CC35" s="888"/>
      <c r="CD35" s="888"/>
      <c r="CE35" s="888"/>
      <c r="CF35" s="888">
        <f t="shared" si="3"/>
        <v>11913.4285714286</v>
      </c>
      <c r="CG35" s="888"/>
    </row>
    <row r="36" s="802" customFormat="1" ht="31" hidden="1" customHeight="1" spans="1:85">
      <c r="A36" s="825">
        <v>45624</v>
      </c>
      <c r="B36" s="831" t="s">
        <v>1161</v>
      </c>
      <c r="C36" s="832" t="s">
        <v>84</v>
      </c>
      <c r="D36" s="833">
        <v>4500152749</v>
      </c>
      <c r="E36" s="831">
        <v>4550103326</v>
      </c>
      <c r="F36" s="833" t="s">
        <v>1289</v>
      </c>
      <c r="G36" s="830" t="s">
        <v>1290</v>
      </c>
      <c r="H36" s="830" t="s">
        <v>1140</v>
      </c>
      <c r="I36" s="830">
        <v>2226</v>
      </c>
      <c r="J36" s="830">
        <v>0</v>
      </c>
      <c r="K36" s="830">
        <v>6</v>
      </c>
      <c r="L36" s="842">
        <f t="shared" si="9"/>
        <v>371</v>
      </c>
      <c r="M36" s="843">
        <v>45695</v>
      </c>
      <c r="N36" s="843">
        <v>45691</v>
      </c>
      <c r="O36" s="846"/>
      <c r="P36" s="844" t="s">
        <v>1266</v>
      </c>
      <c r="Q36" s="830"/>
      <c r="R36" s="855">
        <v>45624</v>
      </c>
      <c r="S36" s="830" t="s">
        <v>58</v>
      </c>
      <c r="T36" s="860" t="s">
        <v>1291</v>
      </c>
      <c r="U36" s="861" t="s">
        <v>1292</v>
      </c>
      <c r="V36" s="843" t="s">
        <v>793</v>
      </c>
      <c r="W36" s="858">
        <v>1.9361</v>
      </c>
      <c r="X36" s="859">
        <f>I36*W36</f>
        <v>4309.7586</v>
      </c>
      <c r="Y36" s="830" t="s">
        <v>1293</v>
      </c>
      <c r="Z36" s="830" t="s">
        <v>1294</v>
      </c>
      <c r="AA36" s="830" t="s">
        <v>53</v>
      </c>
      <c r="AB36" s="870" t="s">
        <v>54</v>
      </c>
      <c r="AC36" s="830"/>
      <c r="AD36" s="871">
        <v>2226</v>
      </c>
      <c r="AE36" s="871">
        <f t="shared" si="17"/>
        <v>0</v>
      </c>
      <c r="AF36" s="872"/>
      <c r="AG36" s="871" t="s">
        <v>55</v>
      </c>
      <c r="AH36" s="830"/>
      <c r="AI36" s="830">
        <f t="shared" si="16"/>
        <v>2226</v>
      </c>
      <c r="AJ36" s="830"/>
      <c r="AK36" s="830">
        <f t="shared" ref="AK36:AK44" si="18">I36</f>
        <v>2226</v>
      </c>
      <c r="AN36" s="830"/>
      <c r="AO36" s="830"/>
      <c r="AQ36" s="830">
        <f t="shared" ref="AQ36:AQ44" si="19">I36</f>
        <v>2226</v>
      </c>
      <c r="AR36" s="830"/>
      <c r="AS36" s="830"/>
      <c r="AT36" s="830"/>
      <c r="AZ36" s="802">
        <f>I36/6</f>
        <v>371</v>
      </c>
      <c r="BS36" s="888">
        <f t="shared" si="5"/>
        <v>2226</v>
      </c>
      <c r="BT36" s="889">
        <f t="shared" si="6"/>
        <v>2334322</v>
      </c>
      <c r="BU36" s="888"/>
      <c r="BV36" s="888"/>
      <c r="BW36" s="888"/>
      <c r="BX36" s="888"/>
      <c r="BY36" s="891">
        <f t="shared" si="2"/>
        <v>485678</v>
      </c>
      <c r="CA36" s="805">
        <f t="shared" si="7"/>
        <v>0</v>
      </c>
      <c r="CB36" s="888">
        <f t="shared" si="8"/>
        <v>48086.5714285714</v>
      </c>
      <c r="CC36" s="888"/>
      <c r="CD36" s="888"/>
      <c r="CE36" s="888"/>
      <c r="CF36" s="888">
        <f t="shared" si="3"/>
        <v>11913.4285714286</v>
      </c>
      <c r="CG36" s="888"/>
    </row>
    <row r="37" s="802" customFormat="1" ht="31" hidden="1" customHeight="1" spans="1:85">
      <c r="A37" s="825">
        <v>45624</v>
      </c>
      <c r="B37" s="831" t="s">
        <v>1161</v>
      </c>
      <c r="C37" s="832" t="s">
        <v>84</v>
      </c>
      <c r="D37" s="833">
        <v>4500152749</v>
      </c>
      <c r="E37" s="831">
        <v>4550102988</v>
      </c>
      <c r="F37" s="833" t="s">
        <v>1295</v>
      </c>
      <c r="G37" s="830" t="s">
        <v>1290</v>
      </c>
      <c r="H37" s="830" t="s">
        <v>1140</v>
      </c>
      <c r="I37" s="830">
        <v>708</v>
      </c>
      <c r="J37" s="830">
        <v>0</v>
      </c>
      <c r="K37" s="830">
        <v>6</v>
      </c>
      <c r="L37" s="842">
        <f t="shared" si="9"/>
        <v>118</v>
      </c>
      <c r="M37" s="843">
        <v>45695</v>
      </c>
      <c r="N37" s="843">
        <v>45691</v>
      </c>
      <c r="O37" s="846"/>
      <c r="P37" s="844" t="s">
        <v>1266</v>
      </c>
      <c r="Q37" s="830"/>
      <c r="R37" s="855">
        <v>45624</v>
      </c>
      <c r="S37" s="830" t="s">
        <v>58</v>
      </c>
      <c r="T37" s="860" t="s">
        <v>1291</v>
      </c>
      <c r="U37" s="861" t="s">
        <v>1292</v>
      </c>
      <c r="V37" s="843" t="s">
        <v>793</v>
      </c>
      <c r="W37" s="858">
        <v>1.9361</v>
      </c>
      <c r="X37" s="859">
        <f>I37*W37</f>
        <v>1370.7588</v>
      </c>
      <c r="Y37" s="830" t="s">
        <v>1293</v>
      </c>
      <c r="Z37" s="830" t="s">
        <v>1294</v>
      </c>
      <c r="AA37" s="830" t="s">
        <v>53</v>
      </c>
      <c r="AB37" s="870" t="s">
        <v>54</v>
      </c>
      <c r="AC37" s="830"/>
      <c r="AD37" s="871">
        <v>708</v>
      </c>
      <c r="AE37" s="871">
        <f t="shared" si="17"/>
        <v>0</v>
      </c>
      <c r="AF37" s="872"/>
      <c r="AG37" s="880"/>
      <c r="AH37" s="830"/>
      <c r="AI37" s="830">
        <f t="shared" si="16"/>
        <v>708</v>
      </c>
      <c r="AJ37" s="830"/>
      <c r="AK37" s="830">
        <f t="shared" si="18"/>
        <v>708</v>
      </c>
      <c r="AN37" s="830"/>
      <c r="AO37" s="830"/>
      <c r="AQ37" s="830">
        <f t="shared" si="19"/>
        <v>708</v>
      </c>
      <c r="AR37" s="830"/>
      <c r="AS37" s="830"/>
      <c r="AT37" s="830"/>
      <c r="AZ37" s="802">
        <f t="shared" ref="AZ37:AZ42" si="20">I37/6</f>
        <v>118</v>
      </c>
      <c r="BS37" s="888">
        <f t="shared" si="5"/>
        <v>708</v>
      </c>
      <c r="BT37" s="889">
        <f t="shared" si="6"/>
        <v>2335030</v>
      </c>
      <c r="BU37" s="888"/>
      <c r="BV37" s="888"/>
      <c r="BW37" s="888"/>
      <c r="BX37" s="888"/>
      <c r="BY37" s="891">
        <f t="shared" si="2"/>
        <v>484970</v>
      </c>
      <c r="CA37" s="805">
        <f t="shared" si="7"/>
        <v>0</v>
      </c>
      <c r="CB37" s="888">
        <f t="shared" si="8"/>
        <v>48086.5714285714</v>
      </c>
      <c r="CC37" s="888"/>
      <c r="CD37" s="888"/>
      <c r="CE37" s="888"/>
      <c r="CF37" s="888">
        <f t="shared" si="3"/>
        <v>11913.4285714286</v>
      </c>
      <c r="CG37" s="888"/>
    </row>
    <row r="38" s="802" customFormat="1" ht="31" hidden="1" customHeight="1" spans="1:85">
      <c r="A38" s="825">
        <v>45624</v>
      </c>
      <c r="B38" s="831" t="s">
        <v>1161</v>
      </c>
      <c r="C38" s="832" t="s">
        <v>84</v>
      </c>
      <c r="D38" s="833">
        <v>4500152749</v>
      </c>
      <c r="E38" s="831">
        <v>4550103356</v>
      </c>
      <c r="F38" s="833" t="s">
        <v>1296</v>
      </c>
      <c r="G38" s="830" t="s">
        <v>1290</v>
      </c>
      <c r="H38" s="830" t="s">
        <v>1140</v>
      </c>
      <c r="I38" s="830">
        <v>942</v>
      </c>
      <c r="J38" s="830">
        <v>0</v>
      </c>
      <c r="K38" s="830">
        <v>6</v>
      </c>
      <c r="L38" s="842">
        <f t="shared" si="9"/>
        <v>157</v>
      </c>
      <c r="M38" s="843">
        <v>45695</v>
      </c>
      <c r="N38" s="843">
        <v>45691</v>
      </c>
      <c r="O38" s="846"/>
      <c r="P38" s="844" t="s">
        <v>1266</v>
      </c>
      <c r="Q38" s="830"/>
      <c r="R38" s="855">
        <v>45624</v>
      </c>
      <c r="S38" s="830" t="s">
        <v>58</v>
      </c>
      <c r="T38" s="860" t="s">
        <v>1291</v>
      </c>
      <c r="U38" s="861" t="s">
        <v>1292</v>
      </c>
      <c r="V38" s="843" t="s">
        <v>793</v>
      </c>
      <c r="W38" s="858">
        <v>1.9361</v>
      </c>
      <c r="X38" s="859">
        <f t="shared" ref="X38:X50" si="21">I38*W38</f>
        <v>1823.8062</v>
      </c>
      <c r="Y38" s="830" t="s">
        <v>1293</v>
      </c>
      <c r="Z38" s="830" t="s">
        <v>1294</v>
      </c>
      <c r="AA38" s="830" t="s">
        <v>53</v>
      </c>
      <c r="AB38" s="870" t="s">
        <v>54</v>
      </c>
      <c r="AC38" s="830"/>
      <c r="AD38" s="871">
        <v>942</v>
      </c>
      <c r="AE38" s="871">
        <f t="shared" si="17"/>
        <v>0</v>
      </c>
      <c r="AF38" s="872"/>
      <c r="AG38" s="880"/>
      <c r="AH38" s="830"/>
      <c r="AI38" s="830">
        <f t="shared" si="16"/>
        <v>942</v>
      </c>
      <c r="AJ38" s="830"/>
      <c r="AK38" s="830">
        <f t="shared" si="18"/>
        <v>942</v>
      </c>
      <c r="AN38" s="830"/>
      <c r="AO38" s="830"/>
      <c r="AQ38" s="830">
        <f t="shared" si="19"/>
        <v>942</v>
      </c>
      <c r="AR38" s="830"/>
      <c r="AS38" s="830"/>
      <c r="AT38" s="830"/>
      <c r="AZ38" s="802">
        <f t="shared" si="20"/>
        <v>157</v>
      </c>
      <c r="BS38" s="888">
        <f t="shared" si="5"/>
        <v>942</v>
      </c>
      <c r="BT38" s="889">
        <f t="shared" si="6"/>
        <v>2335972</v>
      </c>
      <c r="BU38" s="888"/>
      <c r="BV38" s="888"/>
      <c r="BW38" s="888"/>
      <c r="BX38" s="888"/>
      <c r="BY38" s="891">
        <f t="shared" si="2"/>
        <v>484028</v>
      </c>
      <c r="CA38" s="805">
        <f t="shared" si="7"/>
        <v>0</v>
      </c>
      <c r="CB38" s="888">
        <f t="shared" si="8"/>
        <v>48086.5714285714</v>
      </c>
      <c r="CC38" s="888"/>
      <c r="CD38" s="888"/>
      <c r="CE38" s="888"/>
      <c r="CF38" s="888">
        <f t="shared" si="3"/>
        <v>11913.4285714286</v>
      </c>
      <c r="CG38" s="888"/>
    </row>
    <row r="39" s="802" customFormat="1" ht="31" hidden="1" customHeight="1" spans="1:85">
      <c r="A39" s="825">
        <v>45624</v>
      </c>
      <c r="B39" s="831" t="s">
        <v>1161</v>
      </c>
      <c r="C39" s="832" t="s">
        <v>84</v>
      </c>
      <c r="D39" s="833">
        <v>4500152749</v>
      </c>
      <c r="E39" s="831">
        <v>4550102986</v>
      </c>
      <c r="F39" s="833" t="s">
        <v>1297</v>
      </c>
      <c r="G39" s="830" t="s">
        <v>1290</v>
      </c>
      <c r="H39" s="830" t="s">
        <v>1140</v>
      </c>
      <c r="I39" s="830">
        <v>1416</v>
      </c>
      <c r="J39" s="830">
        <v>0</v>
      </c>
      <c r="K39" s="830">
        <v>6</v>
      </c>
      <c r="L39" s="842">
        <f t="shared" si="9"/>
        <v>236</v>
      </c>
      <c r="M39" s="843">
        <v>45695</v>
      </c>
      <c r="N39" s="843">
        <v>45691</v>
      </c>
      <c r="O39" s="846"/>
      <c r="P39" s="844" t="s">
        <v>1266</v>
      </c>
      <c r="Q39" s="830"/>
      <c r="R39" s="855">
        <v>45624</v>
      </c>
      <c r="S39" s="830" t="s">
        <v>58</v>
      </c>
      <c r="T39" s="860" t="s">
        <v>1291</v>
      </c>
      <c r="U39" s="861" t="s">
        <v>1292</v>
      </c>
      <c r="V39" s="843" t="s">
        <v>793</v>
      </c>
      <c r="W39" s="858">
        <v>1.9361</v>
      </c>
      <c r="X39" s="859">
        <f t="shared" si="21"/>
        <v>2741.5176</v>
      </c>
      <c r="Y39" s="830" t="s">
        <v>1293</v>
      </c>
      <c r="Z39" s="830" t="s">
        <v>1294</v>
      </c>
      <c r="AA39" s="830" t="s">
        <v>53</v>
      </c>
      <c r="AB39" s="870" t="s">
        <v>54</v>
      </c>
      <c r="AC39" s="830"/>
      <c r="AD39" s="871">
        <v>1416</v>
      </c>
      <c r="AE39" s="871">
        <f t="shared" si="17"/>
        <v>0</v>
      </c>
      <c r="AF39" s="872"/>
      <c r="AG39" s="880"/>
      <c r="AH39" s="830"/>
      <c r="AI39" s="830">
        <f t="shared" si="16"/>
        <v>1416</v>
      </c>
      <c r="AJ39" s="830"/>
      <c r="AK39" s="830">
        <f t="shared" si="18"/>
        <v>1416</v>
      </c>
      <c r="AN39" s="830"/>
      <c r="AO39" s="830"/>
      <c r="AQ39" s="830">
        <f t="shared" si="19"/>
        <v>1416</v>
      </c>
      <c r="AR39" s="830"/>
      <c r="AS39" s="830"/>
      <c r="AT39" s="830"/>
      <c r="AZ39" s="802">
        <f t="shared" si="20"/>
        <v>236</v>
      </c>
      <c r="BS39" s="888">
        <f t="shared" si="5"/>
        <v>1416</v>
      </c>
      <c r="BT39" s="889">
        <f t="shared" si="6"/>
        <v>2337388</v>
      </c>
      <c r="BU39" s="888"/>
      <c r="BV39" s="888"/>
      <c r="BW39" s="888"/>
      <c r="BX39" s="888"/>
      <c r="BY39" s="891">
        <f t="shared" si="2"/>
        <v>482612</v>
      </c>
      <c r="CA39" s="805">
        <f t="shared" si="7"/>
        <v>0</v>
      </c>
      <c r="CB39" s="888">
        <f t="shared" si="8"/>
        <v>48086.5714285714</v>
      </c>
      <c r="CC39" s="888"/>
      <c r="CD39" s="888"/>
      <c r="CE39" s="888"/>
      <c r="CF39" s="888">
        <f t="shared" si="3"/>
        <v>11913.4285714286</v>
      </c>
      <c r="CG39" s="888"/>
    </row>
    <row r="40" s="802" customFormat="1" ht="31" hidden="1" customHeight="1" spans="1:85">
      <c r="A40" s="825">
        <v>45624</v>
      </c>
      <c r="B40" s="831" t="s">
        <v>1161</v>
      </c>
      <c r="C40" s="832" t="s">
        <v>84</v>
      </c>
      <c r="D40" s="833">
        <v>4500152749</v>
      </c>
      <c r="E40" s="831">
        <v>4550103369</v>
      </c>
      <c r="F40" s="833" t="s">
        <v>1298</v>
      </c>
      <c r="G40" s="830" t="s">
        <v>1290</v>
      </c>
      <c r="H40" s="830" t="s">
        <v>1140</v>
      </c>
      <c r="I40" s="830">
        <v>2010</v>
      </c>
      <c r="J40" s="830">
        <v>0</v>
      </c>
      <c r="K40" s="830">
        <v>6</v>
      </c>
      <c r="L40" s="842">
        <f t="shared" si="9"/>
        <v>335</v>
      </c>
      <c r="M40" s="843">
        <v>45695</v>
      </c>
      <c r="N40" s="843">
        <v>45691</v>
      </c>
      <c r="O40" s="846"/>
      <c r="P40" s="844" t="s">
        <v>1266</v>
      </c>
      <c r="Q40" s="830"/>
      <c r="R40" s="855">
        <v>45624</v>
      </c>
      <c r="S40" s="830" t="s">
        <v>58</v>
      </c>
      <c r="T40" s="860" t="s">
        <v>1291</v>
      </c>
      <c r="U40" s="861" t="s">
        <v>1292</v>
      </c>
      <c r="V40" s="843" t="s">
        <v>793</v>
      </c>
      <c r="W40" s="858">
        <v>1.9361</v>
      </c>
      <c r="X40" s="859">
        <f t="shared" si="21"/>
        <v>3891.561</v>
      </c>
      <c r="Y40" s="830" t="s">
        <v>1293</v>
      </c>
      <c r="Z40" s="830" t="s">
        <v>1294</v>
      </c>
      <c r="AA40" s="830" t="s">
        <v>53</v>
      </c>
      <c r="AB40" s="870" t="s">
        <v>54</v>
      </c>
      <c r="AC40" s="830"/>
      <c r="AD40" s="871">
        <v>2010</v>
      </c>
      <c r="AE40" s="871">
        <f t="shared" si="17"/>
        <v>0</v>
      </c>
      <c r="AF40" s="872"/>
      <c r="AG40" s="880"/>
      <c r="AH40" s="830"/>
      <c r="AI40" s="830">
        <f t="shared" si="16"/>
        <v>2010</v>
      </c>
      <c r="AJ40" s="830"/>
      <c r="AK40" s="830">
        <f t="shared" si="18"/>
        <v>2010</v>
      </c>
      <c r="AN40" s="830"/>
      <c r="AO40" s="830"/>
      <c r="AQ40" s="830">
        <f t="shared" si="19"/>
        <v>2010</v>
      </c>
      <c r="AR40" s="830"/>
      <c r="AS40" s="830"/>
      <c r="AT40" s="830"/>
      <c r="AZ40" s="802">
        <f t="shared" si="20"/>
        <v>335</v>
      </c>
      <c r="BS40" s="888">
        <f t="shared" si="5"/>
        <v>2010</v>
      </c>
      <c r="BT40" s="889">
        <f t="shared" si="6"/>
        <v>2339398</v>
      </c>
      <c r="BU40" s="888"/>
      <c r="BV40" s="888"/>
      <c r="BW40" s="888"/>
      <c r="BX40" s="888"/>
      <c r="BY40" s="891">
        <f t="shared" si="2"/>
        <v>480602</v>
      </c>
      <c r="CA40" s="805">
        <f t="shared" si="7"/>
        <v>0</v>
      </c>
      <c r="CB40" s="888">
        <f t="shared" si="8"/>
        <v>48086.5714285714</v>
      </c>
      <c r="CC40" s="888"/>
      <c r="CD40" s="888"/>
      <c r="CE40" s="888"/>
      <c r="CF40" s="888">
        <f t="shared" si="3"/>
        <v>11913.4285714286</v>
      </c>
      <c r="CG40" s="888"/>
    </row>
    <row r="41" s="802" customFormat="1" ht="31" hidden="1" customHeight="1" spans="1:85">
      <c r="A41" s="825">
        <v>45624</v>
      </c>
      <c r="B41" s="831" t="s">
        <v>1161</v>
      </c>
      <c r="C41" s="832" t="s">
        <v>84</v>
      </c>
      <c r="D41" s="833">
        <v>4500152749</v>
      </c>
      <c r="E41" s="831">
        <v>4550103370</v>
      </c>
      <c r="F41" s="833" t="s">
        <v>1299</v>
      </c>
      <c r="G41" s="830" t="s">
        <v>1290</v>
      </c>
      <c r="H41" s="830" t="s">
        <v>1140</v>
      </c>
      <c r="I41" s="830">
        <v>768</v>
      </c>
      <c r="J41" s="830">
        <v>0</v>
      </c>
      <c r="K41" s="830">
        <v>6</v>
      </c>
      <c r="L41" s="842">
        <f t="shared" si="9"/>
        <v>128</v>
      </c>
      <c r="M41" s="843">
        <v>45695</v>
      </c>
      <c r="N41" s="843">
        <v>45691</v>
      </c>
      <c r="O41" s="846"/>
      <c r="P41" s="844" t="s">
        <v>1266</v>
      </c>
      <c r="Q41" s="830"/>
      <c r="R41" s="855">
        <v>45624</v>
      </c>
      <c r="S41" s="830" t="s">
        <v>58</v>
      </c>
      <c r="T41" s="860" t="s">
        <v>1291</v>
      </c>
      <c r="U41" s="861" t="s">
        <v>1292</v>
      </c>
      <c r="V41" s="843" t="s">
        <v>793</v>
      </c>
      <c r="W41" s="858">
        <v>1.9361</v>
      </c>
      <c r="X41" s="859">
        <f t="shared" si="21"/>
        <v>1486.9248</v>
      </c>
      <c r="Y41" s="830" t="s">
        <v>1293</v>
      </c>
      <c r="Z41" s="830" t="s">
        <v>1294</v>
      </c>
      <c r="AA41" s="830" t="s">
        <v>53</v>
      </c>
      <c r="AB41" s="870" t="s">
        <v>54</v>
      </c>
      <c r="AC41" s="830"/>
      <c r="AD41" s="871">
        <v>768</v>
      </c>
      <c r="AE41" s="871">
        <f t="shared" si="17"/>
        <v>0</v>
      </c>
      <c r="AF41" s="872"/>
      <c r="AG41" s="880"/>
      <c r="AH41" s="830"/>
      <c r="AI41" s="830">
        <f t="shared" si="16"/>
        <v>768</v>
      </c>
      <c r="AJ41" s="830"/>
      <c r="AK41" s="830">
        <f t="shared" si="18"/>
        <v>768</v>
      </c>
      <c r="AN41" s="830"/>
      <c r="AO41" s="830"/>
      <c r="AQ41" s="830">
        <f t="shared" si="19"/>
        <v>768</v>
      </c>
      <c r="AR41" s="830"/>
      <c r="AS41" s="830"/>
      <c r="AT41" s="830"/>
      <c r="AZ41" s="802">
        <f t="shared" si="20"/>
        <v>128</v>
      </c>
      <c r="BS41" s="888">
        <f t="shared" si="5"/>
        <v>768</v>
      </c>
      <c r="BT41" s="889">
        <f t="shared" si="6"/>
        <v>2340166</v>
      </c>
      <c r="BU41" s="888"/>
      <c r="BV41" s="888"/>
      <c r="BW41" s="888"/>
      <c r="BX41" s="888"/>
      <c r="BY41" s="891">
        <f t="shared" si="2"/>
        <v>479834</v>
      </c>
      <c r="CA41" s="805">
        <f t="shared" si="7"/>
        <v>0</v>
      </c>
      <c r="CB41" s="888">
        <f t="shared" si="8"/>
        <v>48086.5714285714</v>
      </c>
      <c r="CC41" s="888"/>
      <c r="CD41" s="888"/>
      <c r="CE41" s="888"/>
      <c r="CF41" s="888">
        <f t="shared" si="3"/>
        <v>11913.4285714286</v>
      </c>
      <c r="CG41" s="888"/>
    </row>
    <row r="42" s="802" customFormat="1" ht="31" hidden="1" customHeight="1" spans="1:85">
      <c r="A42" s="825">
        <v>45624</v>
      </c>
      <c r="B42" s="831" t="s">
        <v>1161</v>
      </c>
      <c r="C42" s="832" t="s">
        <v>84</v>
      </c>
      <c r="D42" s="833">
        <v>4500152749</v>
      </c>
      <c r="E42" s="831">
        <v>4550103376</v>
      </c>
      <c r="F42" s="833" t="s">
        <v>1300</v>
      </c>
      <c r="G42" s="830" t="s">
        <v>1290</v>
      </c>
      <c r="H42" s="830" t="s">
        <v>1140</v>
      </c>
      <c r="I42" s="830">
        <v>1266</v>
      </c>
      <c r="J42" s="830">
        <v>0</v>
      </c>
      <c r="K42" s="830">
        <v>6</v>
      </c>
      <c r="L42" s="842">
        <f t="shared" si="9"/>
        <v>211</v>
      </c>
      <c r="M42" s="843">
        <v>45695</v>
      </c>
      <c r="N42" s="843">
        <v>45691</v>
      </c>
      <c r="O42" s="846"/>
      <c r="P42" s="844" t="s">
        <v>1266</v>
      </c>
      <c r="Q42" s="830"/>
      <c r="R42" s="855">
        <v>45624</v>
      </c>
      <c r="S42" s="830" t="s">
        <v>58</v>
      </c>
      <c r="T42" s="860" t="s">
        <v>1291</v>
      </c>
      <c r="U42" s="861" t="s">
        <v>1292</v>
      </c>
      <c r="V42" s="843" t="s">
        <v>793</v>
      </c>
      <c r="W42" s="858">
        <v>1.9361</v>
      </c>
      <c r="X42" s="859">
        <f t="shared" si="21"/>
        <v>2451.1026</v>
      </c>
      <c r="Y42" s="830" t="s">
        <v>1293</v>
      </c>
      <c r="Z42" s="830" t="s">
        <v>1294</v>
      </c>
      <c r="AA42" s="830" t="s">
        <v>53</v>
      </c>
      <c r="AB42" s="870" t="s">
        <v>54</v>
      </c>
      <c r="AC42" s="830"/>
      <c r="AD42" s="871">
        <v>1266</v>
      </c>
      <c r="AE42" s="871">
        <f t="shared" si="17"/>
        <v>0</v>
      </c>
      <c r="AF42" s="872"/>
      <c r="AG42" s="870"/>
      <c r="AH42" s="830"/>
      <c r="AI42" s="830">
        <f t="shared" si="16"/>
        <v>1266</v>
      </c>
      <c r="AJ42" s="830"/>
      <c r="AK42" s="830">
        <f t="shared" si="18"/>
        <v>1266</v>
      </c>
      <c r="AN42" s="830"/>
      <c r="AO42" s="830"/>
      <c r="AQ42" s="830">
        <f t="shared" si="19"/>
        <v>1266</v>
      </c>
      <c r="AR42" s="830"/>
      <c r="AS42" s="830"/>
      <c r="AT42" s="830"/>
      <c r="AZ42" s="802">
        <f t="shared" si="20"/>
        <v>211</v>
      </c>
      <c r="BS42" s="888">
        <f t="shared" si="5"/>
        <v>1266</v>
      </c>
      <c r="BT42" s="889">
        <f t="shared" si="6"/>
        <v>2341432</v>
      </c>
      <c r="BU42" s="888"/>
      <c r="BV42" s="888"/>
      <c r="BW42" s="888"/>
      <c r="BX42" s="888"/>
      <c r="BY42" s="891">
        <f t="shared" si="2"/>
        <v>478568</v>
      </c>
      <c r="CA42" s="805">
        <f t="shared" si="7"/>
        <v>0</v>
      </c>
      <c r="CB42" s="888">
        <f t="shared" si="8"/>
        <v>48086.5714285714</v>
      </c>
      <c r="CC42" s="888"/>
      <c r="CD42" s="888"/>
      <c r="CE42" s="888"/>
      <c r="CF42" s="888">
        <f t="shared" si="3"/>
        <v>11913.4285714286</v>
      </c>
      <c r="CG42" s="888"/>
    </row>
    <row r="43" s="802" customFormat="1" ht="31" hidden="1" customHeight="1" spans="1:85">
      <c r="A43" s="825">
        <v>45623</v>
      </c>
      <c r="B43" s="831" t="s">
        <v>1136</v>
      </c>
      <c r="C43" s="832" t="s">
        <v>63</v>
      </c>
      <c r="D43" s="833">
        <v>4500152538</v>
      </c>
      <c r="E43" s="831" t="s">
        <v>1301</v>
      </c>
      <c r="F43" s="833" t="s">
        <v>1302</v>
      </c>
      <c r="G43" s="830" t="s">
        <v>1139</v>
      </c>
      <c r="H43" s="830" t="s">
        <v>1140</v>
      </c>
      <c r="I43" s="830">
        <v>2600</v>
      </c>
      <c r="J43" s="830">
        <v>0</v>
      </c>
      <c r="K43" s="830">
        <v>52</v>
      </c>
      <c r="L43" s="842">
        <f t="shared" si="9"/>
        <v>50</v>
      </c>
      <c r="M43" s="843">
        <v>45696</v>
      </c>
      <c r="N43" s="843">
        <v>45692</v>
      </c>
      <c r="O43" s="846"/>
      <c r="P43" s="844" t="s">
        <v>1266</v>
      </c>
      <c r="Q43" s="830"/>
      <c r="R43" s="855">
        <v>45624</v>
      </c>
      <c r="S43" s="830" t="s">
        <v>58</v>
      </c>
      <c r="T43" s="860" t="s">
        <v>1303</v>
      </c>
      <c r="U43" s="861" t="s">
        <v>1304</v>
      </c>
      <c r="V43" s="843" t="s">
        <v>1305</v>
      </c>
      <c r="W43" s="858">
        <v>1.9026</v>
      </c>
      <c r="X43" s="859">
        <f t="shared" si="21"/>
        <v>4946.76</v>
      </c>
      <c r="Y43" s="830" t="s">
        <v>1306</v>
      </c>
      <c r="Z43" s="830" t="s">
        <v>1139</v>
      </c>
      <c r="AA43" s="830" t="s">
        <v>53</v>
      </c>
      <c r="AB43" s="870" t="s">
        <v>54</v>
      </c>
      <c r="AC43" s="830"/>
      <c r="AD43" s="871">
        <v>2600</v>
      </c>
      <c r="AE43" s="871">
        <f t="shared" si="17"/>
        <v>0</v>
      </c>
      <c r="AF43" s="872"/>
      <c r="AG43" s="871" t="s">
        <v>55</v>
      </c>
      <c r="AH43" s="830"/>
      <c r="AI43" s="830">
        <f t="shared" si="16"/>
        <v>2600</v>
      </c>
      <c r="AJ43" s="830"/>
      <c r="AK43" s="830">
        <f t="shared" si="18"/>
        <v>2600</v>
      </c>
      <c r="AN43" s="830"/>
      <c r="AO43" s="830"/>
      <c r="AQ43" s="830">
        <f t="shared" si="19"/>
        <v>2600</v>
      </c>
      <c r="AR43" s="830"/>
      <c r="AS43" s="830"/>
      <c r="AT43" s="830"/>
      <c r="BA43" s="802">
        <f>I43/13</f>
        <v>200</v>
      </c>
      <c r="BS43" s="888">
        <f t="shared" si="5"/>
        <v>2600</v>
      </c>
      <c r="BT43" s="889">
        <f t="shared" si="6"/>
        <v>2344032</v>
      </c>
      <c r="BU43" s="888"/>
      <c r="BV43" s="888"/>
      <c r="BW43" s="888"/>
      <c r="BX43" s="888"/>
      <c r="BY43" s="891">
        <f t="shared" si="2"/>
        <v>475968</v>
      </c>
      <c r="CA43" s="805">
        <f t="shared" si="7"/>
        <v>0</v>
      </c>
      <c r="CB43" s="888">
        <f t="shared" si="8"/>
        <v>48086.5714285714</v>
      </c>
      <c r="CC43" s="888"/>
      <c r="CD43" s="888"/>
      <c r="CE43" s="888"/>
      <c r="CF43" s="888">
        <f t="shared" si="3"/>
        <v>11913.4285714286</v>
      </c>
      <c r="CG43" s="888"/>
    </row>
    <row r="44" s="802" customFormat="1" ht="31" hidden="1" customHeight="1" spans="1:85">
      <c r="A44" s="825">
        <v>45623</v>
      </c>
      <c r="B44" s="831" t="s">
        <v>1136</v>
      </c>
      <c r="C44" s="832" t="s">
        <v>63</v>
      </c>
      <c r="D44" s="833">
        <v>4500152538</v>
      </c>
      <c r="E44" s="831" t="s">
        <v>1307</v>
      </c>
      <c r="F44" s="833" t="s">
        <v>1308</v>
      </c>
      <c r="G44" s="830" t="s">
        <v>1139</v>
      </c>
      <c r="H44" s="830" t="s">
        <v>1140</v>
      </c>
      <c r="I44" s="830">
        <v>1456</v>
      </c>
      <c r="J44" s="830">
        <v>0</v>
      </c>
      <c r="K44" s="830">
        <v>52</v>
      </c>
      <c r="L44" s="842">
        <f t="shared" si="9"/>
        <v>28</v>
      </c>
      <c r="M44" s="843">
        <v>45696</v>
      </c>
      <c r="N44" s="843">
        <v>45692</v>
      </c>
      <c r="O44" s="846"/>
      <c r="P44" s="844" t="s">
        <v>1266</v>
      </c>
      <c r="Q44" s="830"/>
      <c r="R44" s="855">
        <v>45624</v>
      </c>
      <c r="S44" s="830" t="s">
        <v>58</v>
      </c>
      <c r="T44" s="860" t="s">
        <v>1303</v>
      </c>
      <c r="U44" s="861" t="s">
        <v>1304</v>
      </c>
      <c r="V44" s="843" t="s">
        <v>1305</v>
      </c>
      <c r="W44" s="858">
        <v>1.9026</v>
      </c>
      <c r="X44" s="859">
        <f t="shared" si="21"/>
        <v>2770.1856</v>
      </c>
      <c r="Y44" s="830" t="s">
        <v>1306</v>
      </c>
      <c r="Z44" s="830" t="s">
        <v>1139</v>
      </c>
      <c r="AA44" s="830" t="s">
        <v>53</v>
      </c>
      <c r="AB44" s="870" t="s">
        <v>54</v>
      </c>
      <c r="AC44" s="830"/>
      <c r="AD44" s="871">
        <v>1456</v>
      </c>
      <c r="AE44" s="871">
        <f t="shared" si="17"/>
        <v>0</v>
      </c>
      <c r="AF44" s="872"/>
      <c r="AG44" s="870"/>
      <c r="AH44" s="830"/>
      <c r="AI44" s="830">
        <f t="shared" si="16"/>
        <v>1456</v>
      </c>
      <c r="AJ44" s="830"/>
      <c r="AK44" s="830">
        <f t="shared" si="18"/>
        <v>1456</v>
      </c>
      <c r="AN44" s="830"/>
      <c r="AO44" s="830"/>
      <c r="AQ44" s="830">
        <f t="shared" si="19"/>
        <v>1456</v>
      </c>
      <c r="AR44" s="830"/>
      <c r="AS44" s="830"/>
      <c r="AT44" s="830"/>
      <c r="BA44" s="802">
        <f>I44/13</f>
        <v>112</v>
      </c>
      <c r="BS44" s="888">
        <f t="shared" si="5"/>
        <v>1456</v>
      </c>
      <c r="BT44" s="889">
        <f t="shared" si="6"/>
        <v>2345488</v>
      </c>
      <c r="BU44" s="888"/>
      <c r="BV44" s="888"/>
      <c r="BW44" s="888"/>
      <c r="BX44" s="888"/>
      <c r="BY44" s="891">
        <f t="shared" si="2"/>
        <v>474512</v>
      </c>
      <c r="CA44" s="805">
        <f t="shared" si="7"/>
        <v>0</v>
      </c>
      <c r="CB44" s="888">
        <f t="shared" si="8"/>
        <v>48086.5714285714</v>
      </c>
      <c r="CC44" s="888"/>
      <c r="CD44" s="888"/>
      <c r="CE44" s="888"/>
      <c r="CF44" s="888">
        <f t="shared" si="3"/>
        <v>11913.4285714286</v>
      </c>
      <c r="CG44" s="888"/>
    </row>
    <row r="45" s="802" customFormat="1" ht="31" hidden="1" customHeight="1" spans="1:85">
      <c r="A45" s="825">
        <v>45586</v>
      </c>
      <c r="B45" s="831" t="s">
        <v>1255</v>
      </c>
      <c r="C45" s="832" t="s">
        <v>84</v>
      </c>
      <c r="D45" s="833">
        <v>4500147804</v>
      </c>
      <c r="E45" s="831" t="s">
        <v>1262</v>
      </c>
      <c r="F45" s="833" t="s">
        <v>1309</v>
      </c>
      <c r="G45" s="830" t="s">
        <v>1147</v>
      </c>
      <c r="H45" s="830" t="s">
        <v>1148</v>
      </c>
      <c r="I45" s="830">
        <v>600</v>
      </c>
      <c r="J45" s="830">
        <v>0</v>
      </c>
      <c r="K45" s="830">
        <v>12</v>
      </c>
      <c r="L45" s="842">
        <f t="shared" si="9"/>
        <v>50</v>
      </c>
      <c r="M45" s="843">
        <v>45698</v>
      </c>
      <c r="N45" s="843">
        <v>45694</v>
      </c>
      <c r="O45" s="846"/>
      <c r="P45" s="844" t="s">
        <v>1266</v>
      </c>
      <c r="Q45" s="830"/>
      <c r="R45" s="855">
        <v>45600</v>
      </c>
      <c r="S45" s="830" t="s">
        <v>58</v>
      </c>
      <c r="T45" s="860" t="s">
        <v>1258</v>
      </c>
      <c r="U45" s="861" t="s">
        <v>1259</v>
      </c>
      <c r="V45" s="843" t="s">
        <v>1260</v>
      </c>
      <c r="W45" s="856">
        <v>4.1259</v>
      </c>
      <c r="X45" s="859">
        <f t="shared" si="21"/>
        <v>2475.54</v>
      </c>
      <c r="Y45" s="830" t="s">
        <v>1310</v>
      </c>
      <c r="Z45" s="830" t="s">
        <v>1147</v>
      </c>
      <c r="AA45" s="830" t="s">
        <v>53</v>
      </c>
      <c r="AB45" s="870" t="s">
        <v>54</v>
      </c>
      <c r="AC45" s="830"/>
      <c r="AD45" s="871">
        <v>600</v>
      </c>
      <c r="AE45" s="871">
        <f t="shared" si="17"/>
        <v>0</v>
      </c>
      <c r="AF45" s="872"/>
      <c r="AG45" s="830" t="s">
        <v>55</v>
      </c>
      <c r="AH45" s="830"/>
      <c r="AI45" s="830">
        <f t="shared" ref="AI45:AI50" si="22">I45*2</f>
        <v>1200</v>
      </c>
      <c r="AJ45" s="830"/>
      <c r="AK45" s="830">
        <f>I45*2</f>
        <v>1200</v>
      </c>
      <c r="AN45" s="830"/>
      <c r="AO45" s="830"/>
      <c r="AQ45" s="830">
        <f t="shared" ref="AQ45:AQ50" si="23">I45*2</f>
        <v>1200</v>
      </c>
      <c r="AR45" s="830"/>
      <c r="AS45" s="830"/>
      <c r="AT45" s="830"/>
      <c r="BL45" s="802">
        <f t="shared" ref="BL45:BL50" si="24">I45</f>
        <v>600</v>
      </c>
      <c r="BM45" s="802">
        <f t="shared" ref="BM45:BM50" si="25">I45</f>
        <v>600</v>
      </c>
      <c r="BO45" s="802">
        <f t="shared" ref="BO45:BO50" si="26">I45</f>
        <v>600</v>
      </c>
      <c r="BS45" s="888">
        <f t="shared" si="5"/>
        <v>1200</v>
      </c>
      <c r="BT45" s="889">
        <f t="shared" si="6"/>
        <v>2346688</v>
      </c>
      <c r="BU45" s="888"/>
      <c r="BV45" s="888"/>
      <c r="BW45" s="888"/>
      <c r="BX45" s="888"/>
      <c r="BY45" s="891">
        <f t="shared" si="2"/>
        <v>473312</v>
      </c>
      <c r="CA45" s="805">
        <f t="shared" si="7"/>
        <v>0</v>
      </c>
      <c r="CB45" s="888">
        <f t="shared" si="8"/>
        <v>48086.5714285714</v>
      </c>
      <c r="CC45" s="888"/>
      <c r="CD45" s="888"/>
      <c r="CE45" s="888"/>
      <c r="CF45" s="888">
        <f t="shared" si="3"/>
        <v>11913.4285714286</v>
      </c>
      <c r="CG45" s="888"/>
    </row>
    <row r="46" s="802" customFormat="1" ht="31" hidden="1" customHeight="1" spans="1:85">
      <c r="A46" s="825">
        <v>45586</v>
      </c>
      <c r="B46" s="831" t="s">
        <v>1255</v>
      </c>
      <c r="C46" s="832" t="s">
        <v>84</v>
      </c>
      <c r="D46" s="833">
        <v>4500147806</v>
      </c>
      <c r="E46" s="831" t="s">
        <v>1256</v>
      </c>
      <c r="F46" s="833" t="s">
        <v>1311</v>
      </c>
      <c r="G46" s="830" t="s">
        <v>1147</v>
      </c>
      <c r="H46" s="830" t="s">
        <v>1148</v>
      </c>
      <c r="I46" s="830">
        <v>600</v>
      </c>
      <c r="J46" s="830">
        <v>0</v>
      </c>
      <c r="K46" s="830">
        <v>12</v>
      </c>
      <c r="L46" s="842">
        <f t="shared" si="9"/>
        <v>50</v>
      </c>
      <c r="M46" s="843">
        <v>45698</v>
      </c>
      <c r="N46" s="843">
        <v>45694</v>
      </c>
      <c r="O46" s="846"/>
      <c r="P46" s="844" t="s">
        <v>1266</v>
      </c>
      <c r="Q46" s="830"/>
      <c r="R46" s="855">
        <v>45600</v>
      </c>
      <c r="S46" s="830" t="s">
        <v>58</v>
      </c>
      <c r="T46" s="860" t="s">
        <v>1258</v>
      </c>
      <c r="U46" s="861" t="s">
        <v>1259</v>
      </c>
      <c r="V46" s="843" t="s">
        <v>1260</v>
      </c>
      <c r="W46" s="856">
        <v>4.1259</v>
      </c>
      <c r="X46" s="859">
        <f t="shared" si="21"/>
        <v>2475.54</v>
      </c>
      <c r="Y46" s="830" t="s">
        <v>1312</v>
      </c>
      <c r="Z46" s="830" t="s">
        <v>1147</v>
      </c>
      <c r="AA46" s="830" t="s">
        <v>53</v>
      </c>
      <c r="AB46" s="870" t="s">
        <v>54</v>
      </c>
      <c r="AC46" s="830"/>
      <c r="AD46" s="871">
        <v>600</v>
      </c>
      <c r="AE46" s="871">
        <f t="shared" si="17"/>
        <v>0</v>
      </c>
      <c r="AF46" s="872"/>
      <c r="AG46" s="830"/>
      <c r="AH46" s="830"/>
      <c r="AI46" s="830">
        <f t="shared" si="22"/>
        <v>1200</v>
      </c>
      <c r="AJ46" s="830"/>
      <c r="AK46" s="830">
        <f>I46*2</f>
        <v>1200</v>
      </c>
      <c r="AN46" s="830"/>
      <c r="AO46" s="830"/>
      <c r="AQ46" s="830">
        <f t="shared" si="23"/>
        <v>1200</v>
      </c>
      <c r="AR46" s="830"/>
      <c r="AS46" s="830"/>
      <c r="AT46" s="830"/>
      <c r="BL46" s="802">
        <f t="shared" si="24"/>
        <v>600</v>
      </c>
      <c r="BM46" s="802">
        <f t="shared" si="25"/>
        <v>600</v>
      </c>
      <c r="BO46" s="802">
        <f t="shared" si="26"/>
        <v>600</v>
      </c>
      <c r="BS46" s="888">
        <f t="shared" si="5"/>
        <v>1200</v>
      </c>
      <c r="BT46" s="889">
        <f t="shared" si="6"/>
        <v>2347888</v>
      </c>
      <c r="BU46" s="888"/>
      <c r="BV46" s="888"/>
      <c r="BW46" s="888"/>
      <c r="BX46" s="888"/>
      <c r="BY46" s="891">
        <f t="shared" si="2"/>
        <v>472112</v>
      </c>
      <c r="CA46" s="805">
        <f t="shared" si="7"/>
        <v>0</v>
      </c>
      <c r="CB46" s="888">
        <f t="shared" si="8"/>
        <v>48086.5714285714</v>
      </c>
      <c r="CC46" s="888"/>
      <c r="CD46" s="888"/>
      <c r="CE46" s="888"/>
      <c r="CF46" s="888">
        <f t="shared" si="3"/>
        <v>11913.4285714286</v>
      </c>
      <c r="CG46" s="888"/>
    </row>
    <row r="47" s="802" customFormat="1" ht="31" hidden="1" customHeight="1" spans="1:85">
      <c r="A47" s="825">
        <v>45644</v>
      </c>
      <c r="B47" s="831" t="s">
        <v>1313</v>
      </c>
      <c r="C47" s="832" t="s">
        <v>149</v>
      </c>
      <c r="D47" s="833">
        <v>4500154316</v>
      </c>
      <c r="E47" s="831" t="s">
        <v>1314</v>
      </c>
      <c r="F47" s="833" t="s">
        <v>1315</v>
      </c>
      <c r="G47" s="830" t="s">
        <v>1147</v>
      </c>
      <c r="H47" s="830" t="s">
        <v>1148</v>
      </c>
      <c r="I47" s="830">
        <v>336</v>
      </c>
      <c r="J47" s="830">
        <v>0</v>
      </c>
      <c r="K47" s="830">
        <v>12</v>
      </c>
      <c r="L47" s="842">
        <f t="shared" si="9"/>
        <v>28</v>
      </c>
      <c r="M47" s="843">
        <v>45698</v>
      </c>
      <c r="N47" s="843">
        <v>45694</v>
      </c>
      <c r="O47" s="846"/>
      <c r="P47" s="844" t="s">
        <v>1266</v>
      </c>
      <c r="Q47" s="830"/>
      <c r="R47" s="855">
        <v>45655</v>
      </c>
      <c r="S47" s="830" t="s">
        <v>58</v>
      </c>
      <c r="T47" s="860" t="s">
        <v>1258</v>
      </c>
      <c r="U47" s="861" t="s">
        <v>1316</v>
      </c>
      <c r="V47" s="843" t="s">
        <v>503</v>
      </c>
      <c r="W47" s="856">
        <v>4.1259</v>
      </c>
      <c r="X47" s="859">
        <f t="shared" si="21"/>
        <v>1386.3024</v>
      </c>
      <c r="Y47" s="830" t="s">
        <v>1317</v>
      </c>
      <c r="Z47" s="830" t="s">
        <v>1147</v>
      </c>
      <c r="AA47" s="830" t="s">
        <v>53</v>
      </c>
      <c r="AB47" s="870" t="s">
        <v>54</v>
      </c>
      <c r="AC47" s="830"/>
      <c r="AD47" s="871">
        <v>336</v>
      </c>
      <c r="AE47" s="871">
        <f t="shared" si="17"/>
        <v>0</v>
      </c>
      <c r="AF47" s="872"/>
      <c r="AG47" s="830"/>
      <c r="AH47" s="830"/>
      <c r="AI47" s="830">
        <f t="shared" si="22"/>
        <v>672</v>
      </c>
      <c r="AJ47" s="830"/>
      <c r="AK47" s="830">
        <f t="shared" ref="AK47:AK57" si="27">I47</f>
        <v>336</v>
      </c>
      <c r="AN47" s="830"/>
      <c r="AO47" s="830"/>
      <c r="AQ47" s="830">
        <f t="shared" si="23"/>
        <v>672</v>
      </c>
      <c r="AR47" s="830"/>
      <c r="AS47" s="830"/>
      <c r="AT47" s="830"/>
      <c r="BL47" s="802">
        <f t="shared" si="24"/>
        <v>336</v>
      </c>
      <c r="BM47" s="802">
        <f t="shared" si="25"/>
        <v>336</v>
      </c>
      <c r="BO47" s="802">
        <f t="shared" si="26"/>
        <v>336</v>
      </c>
      <c r="BS47" s="888">
        <f t="shared" si="5"/>
        <v>672</v>
      </c>
      <c r="BT47" s="889">
        <f t="shared" si="6"/>
        <v>2348560</v>
      </c>
      <c r="BU47" s="888"/>
      <c r="BV47" s="888"/>
      <c r="BW47" s="888"/>
      <c r="BX47" s="888"/>
      <c r="BY47" s="891">
        <f t="shared" si="2"/>
        <v>471440</v>
      </c>
      <c r="CA47" s="805">
        <f t="shared" si="7"/>
        <v>0</v>
      </c>
      <c r="CB47" s="888">
        <f t="shared" si="8"/>
        <v>48086.5714285714</v>
      </c>
      <c r="CC47" s="888"/>
      <c r="CD47" s="888"/>
      <c r="CE47" s="888"/>
      <c r="CF47" s="888">
        <f t="shared" si="3"/>
        <v>11913.4285714286</v>
      </c>
      <c r="CG47" s="888"/>
    </row>
    <row r="48" s="802" customFormat="1" ht="31" hidden="1" customHeight="1" spans="1:85">
      <c r="A48" s="825">
        <v>45644</v>
      </c>
      <c r="B48" s="831" t="s">
        <v>1313</v>
      </c>
      <c r="C48" s="832" t="s">
        <v>149</v>
      </c>
      <c r="D48" s="833">
        <v>4500154316</v>
      </c>
      <c r="E48" s="831" t="s">
        <v>1318</v>
      </c>
      <c r="F48" s="833" t="s">
        <v>1319</v>
      </c>
      <c r="G48" s="830" t="s">
        <v>1147</v>
      </c>
      <c r="H48" s="830" t="s">
        <v>1148</v>
      </c>
      <c r="I48" s="830">
        <v>336</v>
      </c>
      <c r="J48" s="830">
        <v>0</v>
      </c>
      <c r="K48" s="830">
        <v>12</v>
      </c>
      <c r="L48" s="842">
        <f t="shared" si="9"/>
        <v>28</v>
      </c>
      <c r="M48" s="843">
        <v>45698</v>
      </c>
      <c r="N48" s="843">
        <v>45694</v>
      </c>
      <c r="O48" s="846"/>
      <c r="P48" s="844" t="s">
        <v>1266</v>
      </c>
      <c r="Q48" s="830"/>
      <c r="R48" s="855">
        <v>45655</v>
      </c>
      <c r="S48" s="830" t="s">
        <v>58</v>
      </c>
      <c r="T48" s="860" t="s">
        <v>1258</v>
      </c>
      <c r="U48" s="861" t="s">
        <v>1316</v>
      </c>
      <c r="V48" s="843" t="s">
        <v>503</v>
      </c>
      <c r="W48" s="856">
        <v>4.1259</v>
      </c>
      <c r="X48" s="859">
        <f t="shared" si="21"/>
        <v>1386.3024</v>
      </c>
      <c r="Y48" s="830" t="s">
        <v>1317</v>
      </c>
      <c r="Z48" s="830" t="s">
        <v>1147</v>
      </c>
      <c r="AA48" s="830" t="s">
        <v>53</v>
      </c>
      <c r="AB48" s="870" t="s">
        <v>54</v>
      </c>
      <c r="AC48" s="830"/>
      <c r="AD48" s="871">
        <v>336</v>
      </c>
      <c r="AE48" s="871">
        <f t="shared" si="17"/>
        <v>0</v>
      </c>
      <c r="AF48" s="872"/>
      <c r="AG48" s="830"/>
      <c r="AH48" s="830"/>
      <c r="AI48" s="830">
        <f t="shared" si="22"/>
        <v>672</v>
      </c>
      <c r="AJ48" s="830"/>
      <c r="AK48" s="830">
        <f t="shared" si="27"/>
        <v>336</v>
      </c>
      <c r="AN48" s="830"/>
      <c r="AO48" s="830"/>
      <c r="AQ48" s="830">
        <f t="shared" si="23"/>
        <v>672</v>
      </c>
      <c r="AR48" s="830"/>
      <c r="AS48" s="830"/>
      <c r="AT48" s="830"/>
      <c r="BL48" s="802">
        <f t="shared" si="24"/>
        <v>336</v>
      </c>
      <c r="BM48" s="802">
        <f t="shared" si="25"/>
        <v>336</v>
      </c>
      <c r="BO48" s="802">
        <f t="shared" si="26"/>
        <v>336</v>
      </c>
      <c r="BS48" s="888">
        <f t="shared" si="5"/>
        <v>672</v>
      </c>
      <c r="BT48" s="889">
        <f t="shared" si="6"/>
        <v>2349232</v>
      </c>
      <c r="BU48" s="888"/>
      <c r="BV48" s="888"/>
      <c r="BW48" s="888"/>
      <c r="BX48" s="888"/>
      <c r="BY48" s="891">
        <f t="shared" si="2"/>
        <v>470768</v>
      </c>
      <c r="CA48" s="805">
        <f t="shared" si="7"/>
        <v>0</v>
      </c>
      <c r="CB48" s="888">
        <f t="shared" si="8"/>
        <v>48086.5714285714</v>
      </c>
      <c r="CC48" s="888"/>
      <c r="CD48" s="888"/>
      <c r="CE48" s="888"/>
      <c r="CF48" s="888">
        <f t="shared" si="3"/>
        <v>11913.4285714286</v>
      </c>
      <c r="CG48" s="888"/>
    </row>
    <row r="49" s="802" customFormat="1" ht="31" hidden="1" customHeight="1" spans="1:85">
      <c r="A49" s="825">
        <v>45644</v>
      </c>
      <c r="B49" s="831" t="s">
        <v>1313</v>
      </c>
      <c r="C49" s="832" t="s">
        <v>149</v>
      </c>
      <c r="D49" s="833">
        <v>4500154316</v>
      </c>
      <c r="E49" s="831" t="s">
        <v>1320</v>
      </c>
      <c r="F49" s="833" t="s">
        <v>1321</v>
      </c>
      <c r="G49" s="830" t="s">
        <v>1147</v>
      </c>
      <c r="H49" s="830" t="s">
        <v>1148</v>
      </c>
      <c r="I49" s="830">
        <v>336</v>
      </c>
      <c r="J49" s="830">
        <v>0</v>
      </c>
      <c r="K49" s="830">
        <v>12</v>
      </c>
      <c r="L49" s="842">
        <f t="shared" si="9"/>
        <v>28</v>
      </c>
      <c r="M49" s="843">
        <v>45698</v>
      </c>
      <c r="N49" s="843">
        <v>45694</v>
      </c>
      <c r="O49" s="846"/>
      <c r="P49" s="844" t="s">
        <v>1266</v>
      </c>
      <c r="Q49" s="830"/>
      <c r="R49" s="855">
        <v>45655</v>
      </c>
      <c r="S49" s="830" t="s">
        <v>58</v>
      </c>
      <c r="T49" s="860" t="s">
        <v>1258</v>
      </c>
      <c r="U49" s="861" t="s">
        <v>1316</v>
      </c>
      <c r="V49" s="843" t="s">
        <v>503</v>
      </c>
      <c r="W49" s="856">
        <v>4.1259</v>
      </c>
      <c r="X49" s="859">
        <f t="shared" si="21"/>
        <v>1386.3024</v>
      </c>
      <c r="Y49" s="830" t="s">
        <v>1317</v>
      </c>
      <c r="Z49" s="830" t="s">
        <v>1147</v>
      </c>
      <c r="AA49" s="830" t="s">
        <v>53</v>
      </c>
      <c r="AB49" s="870" t="s">
        <v>54</v>
      </c>
      <c r="AC49" s="830"/>
      <c r="AD49" s="871">
        <v>336</v>
      </c>
      <c r="AE49" s="871">
        <f t="shared" si="17"/>
        <v>0</v>
      </c>
      <c r="AF49" s="872"/>
      <c r="AG49" s="830"/>
      <c r="AH49" s="830"/>
      <c r="AI49" s="830">
        <f t="shared" si="22"/>
        <v>672</v>
      </c>
      <c r="AJ49" s="830"/>
      <c r="AK49" s="830">
        <f t="shared" si="27"/>
        <v>336</v>
      </c>
      <c r="AN49" s="830"/>
      <c r="AO49" s="830"/>
      <c r="AQ49" s="830">
        <f t="shared" si="23"/>
        <v>672</v>
      </c>
      <c r="AR49" s="830"/>
      <c r="AS49" s="830"/>
      <c r="AT49" s="830"/>
      <c r="BL49" s="802">
        <f t="shared" si="24"/>
        <v>336</v>
      </c>
      <c r="BM49" s="802">
        <f t="shared" si="25"/>
        <v>336</v>
      </c>
      <c r="BO49" s="802">
        <f t="shared" si="26"/>
        <v>336</v>
      </c>
      <c r="BS49" s="888">
        <f t="shared" si="5"/>
        <v>672</v>
      </c>
      <c r="BT49" s="889">
        <f t="shared" si="6"/>
        <v>2349904</v>
      </c>
      <c r="BU49" s="888"/>
      <c r="BV49" s="888"/>
      <c r="BW49" s="888"/>
      <c r="BX49" s="888"/>
      <c r="BY49" s="891">
        <f t="shared" si="2"/>
        <v>470096</v>
      </c>
      <c r="CA49" s="805">
        <f t="shared" si="7"/>
        <v>0</v>
      </c>
      <c r="CB49" s="888">
        <f t="shared" si="8"/>
        <v>48086.5714285714</v>
      </c>
      <c r="CC49" s="888"/>
      <c r="CD49" s="888"/>
      <c r="CE49" s="888"/>
      <c r="CF49" s="888">
        <f t="shared" si="3"/>
        <v>11913.4285714286</v>
      </c>
      <c r="CG49" s="888"/>
    </row>
    <row r="50" s="802" customFormat="1" ht="31" hidden="1" customHeight="1" spans="1:85">
      <c r="A50" s="825">
        <v>45615</v>
      </c>
      <c r="B50" s="831" t="s">
        <v>1230</v>
      </c>
      <c r="C50" s="832" t="s">
        <v>84</v>
      </c>
      <c r="D50" s="833">
        <v>4500151537</v>
      </c>
      <c r="E50" s="831">
        <v>70054036</v>
      </c>
      <c r="F50" s="833" t="s">
        <v>1322</v>
      </c>
      <c r="G50" s="830" t="s">
        <v>1147</v>
      </c>
      <c r="H50" s="830" t="s">
        <v>1148</v>
      </c>
      <c r="I50" s="830">
        <v>600</v>
      </c>
      <c r="J50" s="830">
        <v>0</v>
      </c>
      <c r="K50" s="830">
        <v>12</v>
      </c>
      <c r="L50" s="842">
        <f t="shared" si="9"/>
        <v>50</v>
      </c>
      <c r="M50" s="843">
        <v>45705</v>
      </c>
      <c r="N50" s="843">
        <v>45701</v>
      </c>
      <c r="O50" s="846"/>
      <c r="P50" s="844" t="s">
        <v>1266</v>
      </c>
      <c r="Q50" s="830"/>
      <c r="R50" s="855" t="s">
        <v>1323</v>
      </c>
      <c r="S50" s="830" t="s">
        <v>58</v>
      </c>
      <c r="T50" s="860" t="s">
        <v>1324</v>
      </c>
      <c r="U50" s="861" t="s">
        <v>1325</v>
      </c>
      <c r="V50" s="843" t="s">
        <v>1233</v>
      </c>
      <c r="W50" s="856">
        <v>4.1259</v>
      </c>
      <c r="X50" s="859">
        <f t="shared" si="21"/>
        <v>2475.54</v>
      </c>
      <c r="Y50" s="830" t="s">
        <v>1326</v>
      </c>
      <c r="Z50" s="830" t="s">
        <v>1147</v>
      </c>
      <c r="AA50" s="830" t="s">
        <v>53</v>
      </c>
      <c r="AB50" s="870" t="s">
        <v>54</v>
      </c>
      <c r="AC50" s="830"/>
      <c r="AD50" s="871">
        <v>600</v>
      </c>
      <c r="AE50" s="871">
        <f t="shared" si="17"/>
        <v>0</v>
      </c>
      <c r="AF50" s="872"/>
      <c r="AG50" s="830"/>
      <c r="AH50" s="830"/>
      <c r="AI50" s="830">
        <f t="shared" si="22"/>
        <v>1200</v>
      </c>
      <c r="AJ50" s="830"/>
      <c r="AK50" s="830">
        <f>I50*2</f>
        <v>1200</v>
      </c>
      <c r="AN50" s="830"/>
      <c r="AO50" s="830"/>
      <c r="AQ50" s="830">
        <f t="shared" si="23"/>
        <v>1200</v>
      </c>
      <c r="AR50" s="830"/>
      <c r="AS50" s="830"/>
      <c r="AT50" s="830"/>
      <c r="BL50" s="802">
        <f t="shared" si="24"/>
        <v>600</v>
      </c>
      <c r="BM50" s="802">
        <f t="shared" si="25"/>
        <v>600</v>
      </c>
      <c r="BO50" s="802">
        <f t="shared" si="26"/>
        <v>600</v>
      </c>
      <c r="BS50" s="888">
        <f t="shared" si="5"/>
        <v>1200</v>
      </c>
      <c r="BT50" s="889">
        <f t="shared" si="6"/>
        <v>2351104</v>
      </c>
      <c r="BU50" s="888"/>
      <c r="BV50" s="888"/>
      <c r="BW50" s="888"/>
      <c r="BX50" s="888"/>
      <c r="BY50" s="891">
        <f t="shared" si="2"/>
        <v>468896</v>
      </c>
      <c r="CA50" s="805">
        <f t="shared" si="7"/>
        <v>0</v>
      </c>
      <c r="CB50" s="888">
        <f t="shared" si="8"/>
        <v>48086.5714285714</v>
      </c>
      <c r="CC50" s="888"/>
      <c r="CD50" s="888"/>
      <c r="CE50" s="888"/>
      <c r="CF50" s="888">
        <f t="shared" si="3"/>
        <v>11913.4285714286</v>
      </c>
      <c r="CG50" s="888"/>
    </row>
    <row r="51" s="802" customFormat="1" ht="31" hidden="1" customHeight="1" spans="1:85">
      <c r="A51" s="825">
        <v>45649</v>
      </c>
      <c r="B51" s="831" t="s">
        <v>1186</v>
      </c>
      <c r="C51" s="832" t="s">
        <v>84</v>
      </c>
      <c r="D51" s="833">
        <v>4500154532</v>
      </c>
      <c r="E51" s="831" t="s">
        <v>1327</v>
      </c>
      <c r="F51" s="833" t="s">
        <v>1328</v>
      </c>
      <c r="G51" s="830" t="s">
        <v>1189</v>
      </c>
      <c r="H51" s="830" t="s">
        <v>1140</v>
      </c>
      <c r="I51" s="830">
        <v>2304</v>
      </c>
      <c r="J51" s="830">
        <v>0</v>
      </c>
      <c r="K51" s="830">
        <v>1152</v>
      </c>
      <c r="L51" s="842">
        <f t="shared" si="9"/>
        <v>2</v>
      </c>
      <c r="M51" s="843">
        <v>45705</v>
      </c>
      <c r="N51" s="843">
        <v>45701</v>
      </c>
      <c r="O51" s="846"/>
      <c r="P51" s="844" t="s">
        <v>1266</v>
      </c>
      <c r="Q51" s="830" t="s">
        <v>1329</v>
      </c>
      <c r="R51" s="855" t="s">
        <v>968</v>
      </c>
      <c r="S51" s="830" t="s">
        <v>58</v>
      </c>
      <c r="T51" s="860" t="s">
        <v>1330</v>
      </c>
      <c r="U51" s="861" t="s">
        <v>1331</v>
      </c>
      <c r="V51" s="843" t="s">
        <v>207</v>
      </c>
      <c r="W51" s="856">
        <v>2206.6131</v>
      </c>
      <c r="X51" s="859">
        <f t="shared" ref="X51:X56" si="28">W51*L51</f>
        <v>4413.2262</v>
      </c>
      <c r="Y51" s="830" t="s">
        <v>1332</v>
      </c>
      <c r="Z51" s="830" t="s">
        <v>1189</v>
      </c>
      <c r="AA51" s="830" t="s">
        <v>53</v>
      </c>
      <c r="AB51" s="870" t="s">
        <v>54</v>
      </c>
      <c r="AC51" s="830"/>
      <c r="AD51" s="871">
        <v>2304</v>
      </c>
      <c r="AE51" s="871">
        <f t="shared" si="17"/>
        <v>0</v>
      </c>
      <c r="AF51" s="872"/>
      <c r="AG51" s="830"/>
      <c r="AH51" s="830"/>
      <c r="AI51" s="830">
        <f t="shared" ref="AI51:AI60" si="29">I51</f>
        <v>2304</v>
      </c>
      <c r="AJ51" s="830"/>
      <c r="AK51" s="830">
        <f t="shared" si="27"/>
        <v>2304</v>
      </c>
      <c r="AN51" s="830"/>
      <c r="AO51" s="830"/>
      <c r="AQ51" s="830"/>
      <c r="AR51" s="830"/>
      <c r="AS51" s="830">
        <f t="shared" ref="AS51:AS56" si="30">I51</f>
        <v>2304</v>
      </c>
      <c r="AT51" s="830"/>
      <c r="AX51" s="802">
        <f t="shared" ref="AX51:AX56" si="31">I51/12</f>
        <v>192</v>
      </c>
      <c r="BS51" s="888">
        <f t="shared" si="5"/>
        <v>2304</v>
      </c>
      <c r="BT51" s="889">
        <f t="shared" si="6"/>
        <v>2353408</v>
      </c>
      <c r="BU51" s="888"/>
      <c r="BV51" s="888"/>
      <c r="BW51" s="888"/>
      <c r="BX51" s="888"/>
      <c r="BY51" s="891">
        <f t="shared" si="2"/>
        <v>466592</v>
      </c>
      <c r="CA51" s="805">
        <f t="shared" si="7"/>
        <v>0</v>
      </c>
      <c r="CB51" s="888">
        <f t="shared" si="8"/>
        <v>48086.5714285714</v>
      </c>
      <c r="CC51" s="888"/>
      <c r="CD51" s="888"/>
      <c r="CE51" s="888"/>
      <c r="CF51" s="888">
        <f t="shared" si="3"/>
        <v>11913.4285714286</v>
      </c>
      <c r="CG51" s="888"/>
    </row>
    <row r="52" s="802" customFormat="1" ht="31" hidden="1" customHeight="1" spans="1:85">
      <c r="A52" s="825">
        <v>45649</v>
      </c>
      <c r="B52" s="831" t="s">
        <v>1186</v>
      </c>
      <c r="C52" s="832" t="s">
        <v>84</v>
      </c>
      <c r="D52" s="833">
        <v>4500154532</v>
      </c>
      <c r="E52" s="831" t="s">
        <v>1333</v>
      </c>
      <c r="F52" s="833" t="s">
        <v>1334</v>
      </c>
      <c r="G52" s="830" t="s">
        <v>1189</v>
      </c>
      <c r="H52" s="830" t="s">
        <v>1140</v>
      </c>
      <c r="I52" s="830">
        <v>1152</v>
      </c>
      <c r="J52" s="830">
        <v>0</v>
      </c>
      <c r="K52" s="830">
        <v>1152</v>
      </c>
      <c r="L52" s="842">
        <f t="shared" si="9"/>
        <v>1</v>
      </c>
      <c r="M52" s="843">
        <v>45705</v>
      </c>
      <c r="N52" s="843">
        <v>45701</v>
      </c>
      <c r="O52" s="846"/>
      <c r="P52" s="844" t="s">
        <v>1266</v>
      </c>
      <c r="Q52" s="830"/>
      <c r="R52" s="855" t="s">
        <v>968</v>
      </c>
      <c r="S52" s="830" t="s">
        <v>58</v>
      </c>
      <c r="T52" s="860" t="s">
        <v>1330</v>
      </c>
      <c r="U52" s="861" t="s">
        <v>1331</v>
      </c>
      <c r="V52" s="843" t="s">
        <v>207</v>
      </c>
      <c r="W52" s="856">
        <v>2206.6131</v>
      </c>
      <c r="X52" s="859">
        <f t="shared" si="28"/>
        <v>2206.6131</v>
      </c>
      <c r="Y52" s="830" t="s">
        <v>1335</v>
      </c>
      <c r="Z52" s="830" t="s">
        <v>1189</v>
      </c>
      <c r="AA52" s="830" t="s">
        <v>53</v>
      </c>
      <c r="AB52" s="870" t="s">
        <v>54</v>
      </c>
      <c r="AC52" s="830"/>
      <c r="AD52" s="871">
        <v>1152</v>
      </c>
      <c r="AE52" s="871">
        <f t="shared" si="17"/>
        <v>0</v>
      </c>
      <c r="AF52" s="872"/>
      <c r="AG52" s="830"/>
      <c r="AH52" s="830"/>
      <c r="AI52" s="830">
        <f t="shared" si="29"/>
        <v>1152</v>
      </c>
      <c r="AJ52" s="830"/>
      <c r="AK52" s="830">
        <f t="shared" si="27"/>
        <v>1152</v>
      </c>
      <c r="AN52" s="830"/>
      <c r="AO52" s="830"/>
      <c r="AQ52" s="830"/>
      <c r="AR52" s="830"/>
      <c r="AS52" s="830">
        <f t="shared" si="30"/>
        <v>1152</v>
      </c>
      <c r="AT52" s="830"/>
      <c r="AX52" s="802">
        <f t="shared" si="31"/>
        <v>96</v>
      </c>
      <c r="BS52" s="888">
        <f t="shared" si="5"/>
        <v>1152</v>
      </c>
      <c r="BT52" s="889">
        <f t="shared" si="6"/>
        <v>2354560</v>
      </c>
      <c r="BU52" s="888"/>
      <c r="BV52" s="888"/>
      <c r="BW52" s="888"/>
      <c r="BX52" s="888"/>
      <c r="BY52" s="891">
        <f t="shared" si="2"/>
        <v>465440</v>
      </c>
      <c r="CA52" s="805">
        <f t="shared" si="7"/>
        <v>0</v>
      </c>
      <c r="CB52" s="888">
        <f t="shared" si="8"/>
        <v>48086.5714285714</v>
      </c>
      <c r="CC52" s="888"/>
      <c r="CD52" s="888"/>
      <c r="CE52" s="888"/>
      <c r="CF52" s="888">
        <f t="shared" si="3"/>
        <v>11913.4285714286</v>
      </c>
      <c r="CG52" s="888"/>
    </row>
    <row r="53" s="802" customFormat="1" ht="31" hidden="1" customHeight="1" spans="1:85">
      <c r="A53" s="825">
        <v>45649</v>
      </c>
      <c r="B53" s="831" t="s">
        <v>1186</v>
      </c>
      <c r="C53" s="832" t="s">
        <v>84</v>
      </c>
      <c r="D53" s="833">
        <v>4500154532</v>
      </c>
      <c r="E53" s="831" t="s">
        <v>1336</v>
      </c>
      <c r="F53" s="833" t="s">
        <v>1337</v>
      </c>
      <c r="G53" s="830" t="s">
        <v>1189</v>
      </c>
      <c r="H53" s="830" t="s">
        <v>1140</v>
      </c>
      <c r="I53" s="830">
        <v>3456</v>
      </c>
      <c r="J53" s="830">
        <v>0</v>
      </c>
      <c r="K53" s="830">
        <v>1152</v>
      </c>
      <c r="L53" s="842">
        <f t="shared" si="9"/>
        <v>3</v>
      </c>
      <c r="M53" s="843">
        <v>45705</v>
      </c>
      <c r="N53" s="843">
        <v>45701</v>
      </c>
      <c r="O53" s="846"/>
      <c r="P53" s="844" t="s">
        <v>1266</v>
      </c>
      <c r="Q53" s="830"/>
      <c r="R53" s="855" t="s">
        <v>968</v>
      </c>
      <c r="S53" s="830" t="s">
        <v>58</v>
      </c>
      <c r="T53" s="860" t="s">
        <v>1330</v>
      </c>
      <c r="U53" s="861" t="s">
        <v>1331</v>
      </c>
      <c r="V53" s="843" t="s">
        <v>207</v>
      </c>
      <c r="W53" s="856">
        <v>2206.6131</v>
      </c>
      <c r="X53" s="859">
        <f t="shared" si="28"/>
        <v>6619.8393</v>
      </c>
      <c r="Y53" s="830" t="s">
        <v>1338</v>
      </c>
      <c r="Z53" s="830" t="s">
        <v>1189</v>
      </c>
      <c r="AA53" s="830" t="s">
        <v>53</v>
      </c>
      <c r="AB53" s="870" t="s">
        <v>54</v>
      </c>
      <c r="AC53" s="830"/>
      <c r="AD53" s="871">
        <v>3456</v>
      </c>
      <c r="AE53" s="871">
        <f t="shared" si="17"/>
        <v>0</v>
      </c>
      <c r="AF53" s="872"/>
      <c r="AG53" s="830"/>
      <c r="AH53" s="830"/>
      <c r="AI53" s="830">
        <f t="shared" si="29"/>
        <v>3456</v>
      </c>
      <c r="AJ53" s="830"/>
      <c r="AK53" s="830">
        <f t="shared" si="27"/>
        <v>3456</v>
      </c>
      <c r="AN53" s="830"/>
      <c r="AO53" s="830"/>
      <c r="AQ53" s="830"/>
      <c r="AR53" s="830"/>
      <c r="AS53" s="830">
        <f t="shared" si="30"/>
        <v>3456</v>
      </c>
      <c r="AT53" s="830"/>
      <c r="AX53" s="802">
        <f t="shared" si="31"/>
        <v>288</v>
      </c>
      <c r="BS53" s="888">
        <f t="shared" si="5"/>
        <v>3456</v>
      </c>
      <c r="BT53" s="889">
        <f t="shared" si="6"/>
        <v>2358016</v>
      </c>
      <c r="BU53" s="888"/>
      <c r="BV53" s="888"/>
      <c r="BW53" s="888"/>
      <c r="BX53" s="888"/>
      <c r="BY53" s="891">
        <f t="shared" si="2"/>
        <v>461984</v>
      </c>
      <c r="CA53" s="805">
        <f t="shared" si="7"/>
        <v>0</v>
      </c>
      <c r="CB53" s="888">
        <f t="shared" si="8"/>
        <v>48086.5714285714</v>
      </c>
      <c r="CC53" s="888"/>
      <c r="CD53" s="888"/>
      <c r="CE53" s="888"/>
      <c r="CF53" s="888">
        <f t="shared" si="3"/>
        <v>11913.4285714286</v>
      </c>
      <c r="CG53" s="888"/>
    </row>
    <row r="54" s="802" customFormat="1" ht="31" hidden="1" customHeight="1" spans="1:85">
      <c r="A54" s="825">
        <v>45649</v>
      </c>
      <c r="B54" s="831" t="s">
        <v>1186</v>
      </c>
      <c r="C54" s="832" t="s">
        <v>84</v>
      </c>
      <c r="D54" s="833">
        <v>4500154532</v>
      </c>
      <c r="E54" s="831" t="s">
        <v>1339</v>
      </c>
      <c r="F54" s="833" t="s">
        <v>1340</v>
      </c>
      <c r="G54" s="830" t="s">
        <v>1189</v>
      </c>
      <c r="H54" s="830" t="s">
        <v>1140</v>
      </c>
      <c r="I54" s="830">
        <v>1152</v>
      </c>
      <c r="J54" s="830">
        <v>0</v>
      </c>
      <c r="K54" s="830">
        <v>1152</v>
      </c>
      <c r="L54" s="842">
        <f t="shared" si="9"/>
        <v>1</v>
      </c>
      <c r="M54" s="843">
        <v>45705</v>
      </c>
      <c r="N54" s="843">
        <v>45701</v>
      </c>
      <c r="O54" s="846"/>
      <c r="P54" s="844" t="s">
        <v>1266</v>
      </c>
      <c r="Q54" s="830"/>
      <c r="R54" s="855" t="s">
        <v>968</v>
      </c>
      <c r="S54" s="830" t="s">
        <v>58</v>
      </c>
      <c r="T54" s="860" t="s">
        <v>1330</v>
      </c>
      <c r="U54" s="861" t="s">
        <v>1331</v>
      </c>
      <c r="V54" s="843" t="s">
        <v>207</v>
      </c>
      <c r="W54" s="856">
        <v>2206.6131</v>
      </c>
      <c r="X54" s="859">
        <f t="shared" si="28"/>
        <v>2206.6131</v>
      </c>
      <c r="Y54" s="830" t="s">
        <v>1341</v>
      </c>
      <c r="Z54" s="830" t="s">
        <v>1189</v>
      </c>
      <c r="AA54" s="830" t="s">
        <v>53</v>
      </c>
      <c r="AB54" s="870" t="s">
        <v>54</v>
      </c>
      <c r="AC54" s="830"/>
      <c r="AD54" s="871">
        <v>1152</v>
      </c>
      <c r="AE54" s="871">
        <f t="shared" si="17"/>
        <v>0</v>
      </c>
      <c r="AF54" s="872"/>
      <c r="AG54" s="830"/>
      <c r="AH54" s="830"/>
      <c r="AI54" s="830">
        <f t="shared" si="29"/>
        <v>1152</v>
      </c>
      <c r="AJ54" s="830"/>
      <c r="AK54" s="830">
        <f t="shared" si="27"/>
        <v>1152</v>
      </c>
      <c r="AN54" s="830"/>
      <c r="AO54" s="830"/>
      <c r="AQ54" s="830"/>
      <c r="AR54" s="830"/>
      <c r="AS54" s="830">
        <f t="shared" si="30"/>
        <v>1152</v>
      </c>
      <c r="AT54" s="830"/>
      <c r="AX54" s="802">
        <f t="shared" si="31"/>
        <v>96</v>
      </c>
      <c r="BS54" s="888">
        <f t="shared" si="5"/>
        <v>1152</v>
      </c>
      <c r="BT54" s="889">
        <f t="shared" si="6"/>
        <v>2359168</v>
      </c>
      <c r="BU54" s="888"/>
      <c r="BV54" s="888"/>
      <c r="BW54" s="888"/>
      <c r="BX54" s="888"/>
      <c r="BY54" s="891">
        <f t="shared" si="2"/>
        <v>460832</v>
      </c>
      <c r="CA54" s="805">
        <f t="shared" si="7"/>
        <v>0</v>
      </c>
      <c r="CB54" s="888">
        <f t="shared" si="8"/>
        <v>48086.5714285714</v>
      </c>
      <c r="CC54" s="888"/>
      <c r="CD54" s="888"/>
      <c r="CE54" s="888"/>
      <c r="CF54" s="888">
        <f t="shared" si="3"/>
        <v>11913.4285714286</v>
      </c>
      <c r="CG54" s="888"/>
    </row>
    <row r="55" s="802" customFormat="1" ht="31" hidden="1" customHeight="1" spans="1:85">
      <c r="A55" s="825">
        <v>45649</v>
      </c>
      <c r="B55" s="831" t="s">
        <v>1186</v>
      </c>
      <c r="C55" s="832" t="s">
        <v>84</v>
      </c>
      <c r="D55" s="833">
        <v>4500154532</v>
      </c>
      <c r="E55" s="831" t="s">
        <v>1342</v>
      </c>
      <c r="F55" s="833" t="s">
        <v>1343</v>
      </c>
      <c r="G55" s="830" t="s">
        <v>1189</v>
      </c>
      <c r="H55" s="830" t="s">
        <v>1140</v>
      </c>
      <c r="I55" s="830">
        <v>1152</v>
      </c>
      <c r="J55" s="830">
        <v>0</v>
      </c>
      <c r="K55" s="830">
        <v>1152</v>
      </c>
      <c r="L55" s="842">
        <f t="shared" si="9"/>
        <v>1</v>
      </c>
      <c r="M55" s="843">
        <v>45705</v>
      </c>
      <c r="N55" s="843">
        <v>45701</v>
      </c>
      <c r="O55" s="846"/>
      <c r="P55" s="844" t="s">
        <v>1266</v>
      </c>
      <c r="Q55" s="830"/>
      <c r="R55" s="855" t="s">
        <v>968</v>
      </c>
      <c r="S55" s="830" t="s">
        <v>58</v>
      </c>
      <c r="T55" s="860" t="s">
        <v>1330</v>
      </c>
      <c r="U55" s="861" t="s">
        <v>1331</v>
      </c>
      <c r="V55" s="843" t="s">
        <v>207</v>
      </c>
      <c r="W55" s="856">
        <v>2206.6131</v>
      </c>
      <c r="X55" s="859">
        <f t="shared" si="28"/>
        <v>2206.6131</v>
      </c>
      <c r="Y55" s="830" t="s">
        <v>1344</v>
      </c>
      <c r="Z55" s="830" t="s">
        <v>1189</v>
      </c>
      <c r="AA55" s="830" t="s">
        <v>53</v>
      </c>
      <c r="AB55" s="870" t="s">
        <v>54</v>
      </c>
      <c r="AC55" s="830"/>
      <c r="AD55" s="871">
        <v>1152</v>
      </c>
      <c r="AE55" s="871">
        <f t="shared" si="17"/>
        <v>0</v>
      </c>
      <c r="AF55" s="872"/>
      <c r="AG55" s="830"/>
      <c r="AH55" s="830"/>
      <c r="AI55" s="830">
        <f t="shared" si="29"/>
        <v>1152</v>
      </c>
      <c r="AJ55" s="830"/>
      <c r="AK55" s="830">
        <f t="shared" si="27"/>
        <v>1152</v>
      </c>
      <c r="AN55" s="830"/>
      <c r="AO55" s="830"/>
      <c r="AQ55" s="830"/>
      <c r="AR55" s="830"/>
      <c r="AS55" s="830">
        <f t="shared" si="30"/>
        <v>1152</v>
      </c>
      <c r="AT55" s="830"/>
      <c r="AX55" s="802">
        <f t="shared" si="31"/>
        <v>96</v>
      </c>
      <c r="BS55" s="888">
        <f t="shared" si="5"/>
        <v>1152</v>
      </c>
      <c r="BT55" s="889">
        <f t="shared" si="6"/>
        <v>2360320</v>
      </c>
      <c r="BU55" s="888"/>
      <c r="BV55" s="888"/>
      <c r="BW55" s="888"/>
      <c r="BX55" s="888"/>
      <c r="BY55" s="891">
        <f t="shared" si="2"/>
        <v>459680</v>
      </c>
      <c r="CA55" s="805">
        <f t="shared" si="7"/>
        <v>0</v>
      </c>
      <c r="CB55" s="888">
        <f t="shared" si="8"/>
        <v>48086.5714285714</v>
      </c>
      <c r="CC55" s="888"/>
      <c r="CD55" s="888"/>
      <c r="CE55" s="888"/>
      <c r="CF55" s="888">
        <f t="shared" si="3"/>
        <v>11913.4285714286</v>
      </c>
      <c r="CG55" s="888"/>
    </row>
    <row r="56" s="802" customFormat="1" ht="31" hidden="1" customHeight="1" spans="1:85">
      <c r="A56" s="825">
        <v>45649</v>
      </c>
      <c r="B56" s="831" t="s">
        <v>1186</v>
      </c>
      <c r="C56" s="832" t="s">
        <v>84</v>
      </c>
      <c r="D56" s="833">
        <v>4500154532</v>
      </c>
      <c r="E56" s="831" t="s">
        <v>1345</v>
      </c>
      <c r="F56" s="833" t="s">
        <v>1346</v>
      </c>
      <c r="G56" s="830" t="s">
        <v>1189</v>
      </c>
      <c r="H56" s="830" t="s">
        <v>1140</v>
      </c>
      <c r="I56" s="830">
        <v>1152</v>
      </c>
      <c r="J56" s="830">
        <v>0</v>
      </c>
      <c r="K56" s="830">
        <v>1152</v>
      </c>
      <c r="L56" s="842">
        <f t="shared" si="9"/>
        <v>1</v>
      </c>
      <c r="M56" s="843">
        <v>45705</v>
      </c>
      <c r="N56" s="843">
        <v>45701</v>
      </c>
      <c r="O56" s="846"/>
      <c r="P56" s="844" t="s">
        <v>1266</v>
      </c>
      <c r="Q56" s="830"/>
      <c r="R56" s="855" t="s">
        <v>968</v>
      </c>
      <c r="S56" s="830" t="s">
        <v>58</v>
      </c>
      <c r="T56" s="860" t="s">
        <v>1330</v>
      </c>
      <c r="U56" s="861" t="s">
        <v>1331</v>
      </c>
      <c r="V56" s="843" t="s">
        <v>207</v>
      </c>
      <c r="W56" s="856">
        <v>2206.6131</v>
      </c>
      <c r="X56" s="859">
        <f t="shared" si="28"/>
        <v>2206.6131</v>
      </c>
      <c r="Y56" s="830" t="s">
        <v>1344</v>
      </c>
      <c r="Z56" s="830" t="s">
        <v>1189</v>
      </c>
      <c r="AA56" s="830" t="s">
        <v>53</v>
      </c>
      <c r="AB56" s="870" t="s">
        <v>54</v>
      </c>
      <c r="AC56" s="830"/>
      <c r="AD56" s="871">
        <v>1152</v>
      </c>
      <c r="AE56" s="871">
        <f t="shared" si="17"/>
        <v>0</v>
      </c>
      <c r="AF56" s="872"/>
      <c r="AG56" s="830"/>
      <c r="AH56" s="830"/>
      <c r="AI56" s="830">
        <f t="shared" si="29"/>
        <v>1152</v>
      </c>
      <c r="AJ56" s="830"/>
      <c r="AK56" s="830">
        <f t="shared" si="27"/>
        <v>1152</v>
      </c>
      <c r="AN56" s="830"/>
      <c r="AO56" s="830"/>
      <c r="AQ56" s="830"/>
      <c r="AR56" s="830"/>
      <c r="AS56" s="830">
        <f t="shared" si="30"/>
        <v>1152</v>
      </c>
      <c r="AT56" s="830"/>
      <c r="AX56" s="802">
        <f t="shared" si="31"/>
        <v>96</v>
      </c>
      <c r="BS56" s="888">
        <f t="shared" si="5"/>
        <v>1152</v>
      </c>
      <c r="BT56" s="889">
        <f t="shared" si="6"/>
        <v>2361472</v>
      </c>
      <c r="BU56" s="888"/>
      <c r="BV56" s="888"/>
      <c r="BW56" s="888"/>
      <c r="BX56" s="888"/>
      <c r="BY56" s="891">
        <f t="shared" si="2"/>
        <v>458528</v>
      </c>
      <c r="CA56" s="805">
        <f t="shared" si="7"/>
        <v>0</v>
      </c>
      <c r="CB56" s="888">
        <f t="shared" si="8"/>
        <v>48086.5714285714</v>
      </c>
      <c r="CC56" s="888"/>
      <c r="CD56" s="888"/>
      <c r="CE56" s="888"/>
      <c r="CF56" s="888">
        <f t="shared" si="3"/>
        <v>11913.4285714286</v>
      </c>
      <c r="CG56" s="888"/>
    </row>
    <row r="57" s="802" customFormat="1" ht="31" hidden="1" customHeight="1" spans="1:85">
      <c r="A57" s="825">
        <v>45652</v>
      </c>
      <c r="B57" s="831" t="s">
        <v>1347</v>
      </c>
      <c r="C57" s="832" t="s">
        <v>1348</v>
      </c>
      <c r="D57" s="833">
        <v>4500154811</v>
      </c>
      <c r="E57" s="831"/>
      <c r="F57" s="833" t="s">
        <v>1349</v>
      </c>
      <c r="G57" s="830" t="s">
        <v>1139</v>
      </c>
      <c r="H57" s="830" t="s">
        <v>1140</v>
      </c>
      <c r="I57" s="830">
        <v>520</v>
      </c>
      <c r="J57" s="830">
        <v>0</v>
      </c>
      <c r="K57" s="830">
        <v>52</v>
      </c>
      <c r="L57" s="842">
        <f t="shared" si="9"/>
        <v>10</v>
      </c>
      <c r="M57" s="843">
        <v>45705</v>
      </c>
      <c r="N57" s="843">
        <v>45701</v>
      </c>
      <c r="O57" s="846"/>
      <c r="P57" s="844" t="s">
        <v>46</v>
      </c>
      <c r="Q57" s="830"/>
      <c r="R57" s="855">
        <v>45652</v>
      </c>
      <c r="S57" s="830" t="s">
        <v>58</v>
      </c>
      <c r="T57" s="860" t="s">
        <v>1350</v>
      </c>
      <c r="U57" s="861" t="s">
        <v>1351</v>
      </c>
      <c r="V57" s="843" t="s">
        <v>1352</v>
      </c>
      <c r="W57" s="856">
        <v>1.9026</v>
      </c>
      <c r="X57" s="859">
        <f>I57*W57</f>
        <v>989.352</v>
      </c>
      <c r="Y57" s="830" t="s">
        <v>1353</v>
      </c>
      <c r="Z57" s="830" t="s">
        <v>1139</v>
      </c>
      <c r="AA57" s="830" t="s">
        <v>53</v>
      </c>
      <c r="AB57" s="870" t="s">
        <v>54</v>
      </c>
      <c r="AC57" s="830"/>
      <c r="AD57" s="871">
        <v>520</v>
      </c>
      <c r="AE57" s="871">
        <f t="shared" si="17"/>
        <v>0</v>
      </c>
      <c r="AF57" s="872"/>
      <c r="AG57" s="830" t="s">
        <v>55</v>
      </c>
      <c r="AH57" s="830"/>
      <c r="AI57" s="830">
        <f t="shared" si="29"/>
        <v>520</v>
      </c>
      <c r="AJ57" s="830"/>
      <c r="AK57" s="830">
        <f t="shared" si="27"/>
        <v>520</v>
      </c>
      <c r="AN57" s="830"/>
      <c r="AO57" s="830"/>
      <c r="AQ57" s="830">
        <f>I57</f>
        <v>520</v>
      </c>
      <c r="AR57" s="830"/>
      <c r="AS57" s="830"/>
      <c r="AT57" s="830"/>
      <c r="BA57" s="802">
        <f>I57/13</f>
        <v>40</v>
      </c>
      <c r="BS57" s="888">
        <f t="shared" si="5"/>
        <v>520</v>
      </c>
      <c r="BT57" s="889">
        <f t="shared" si="6"/>
        <v>2361992</v>
      </c>
      <c r="BU57" s="888"/>
      <c r="BV57" s="888"/>
      <c r="BW57" s="888"/>
      <c r="BX57" s="888"/>
      <c r="BY57" s="891">
        <f t="shared" si="2"/>
        <v>458008</v>
      </c>
      <c r="CA57" s="805">
        <f t="shared" si="7"/>
        <v>0</v>
      </c>
      <c r="CB57" s="888">
        <f t="shared" si="8"/>
        <v>48086.5714285714</v>
      </c>
      <c r="CC57" s="888"/>
      <c r="CD57" s="888"/>
      <c r="CE57" s="888"/>
      <c r="CF57" s="888">
        <f t="shared" si="3"/>
        <v>11913.4285714286</v>
      </c>
      <c r="CG57" s="888"/>
    </row>
    <row r="58" s="802" customFormat="1" ht="31" hidden="1" customHeight="1" spans="1:85">
      <c r="A58" s="825">
        <v>45642</v>
      </c>
      <c r="B58" s="831" t="s">
        <v>1354</v>
      </c>
      <c r="C58" s="832" t="s">
        <v>84</v>
      </c>
      <c r="D58" s="833">
        <v>4500153992</v>
      </c>
      <c r="E58" s="831" t="s">
        <v>1355</v>
      </c>
      <c r="F58" s="833" t="s">
        <v>1356</v>
      </c>
      <c r="G58" s="830" t="s">
        <v>1147</v>
      </c>
      <c r="H58" s="830" t="s">
        <v>1148</v>
      </c>
      <c r="I58" s="830">
        <v>12</v>
      </c>
      <c r="J58" s="830">
        <v>0</v>
      </c>
      <c r="K58" s="830">
        <v>12</v>
      </c>
      <c r="L58" s="842">
        <f t="shared" si="9"/>
        <v>1</v>
      </c>
      <c r="M58" s="843">
        <v>45707</v>
      </c>
      <c r="N58" s="843">
        <v>45703</v>
      </c>
      <c r="O58" s="846"/>
      <c r="P58" s="844" t="s">
        <v>46</v>
      </c>
      <c r="Q58" s="830"/>
      <c r="R58" s="855">
        <v>45655</v>
      </c>
      <c r="S58" s="830" t="s">
        <v>48</v>
      </c>
      <c r="T58" s="860">
        <v>45670</v>
      </c>
      <c r="U58" s="861" t="s">
        <v>1357</v>
      </c>
      <c r="V58" s="843" t="s">
        <v>1358</v>
      </c>
      <c r="W58" s="856">
        <v>4.087</v>
      </c>
      <c r="X58" s="859">
        <f>I58*W58</f>
        <v>49.044</v>
      </c>
      <c r="Y58" s="830" t="s">
        <v>1359</v>
      </c>
      <c r="Z58" s="830" t="s">
        <v>1147</v>
      </c>
      <c r="AA58" s="830" t="s">
        <v>53</v>
      </c>
      <c r="AB58" s="870" t="s">
        <v>54</v>
      </c>
      <c r="AC58" s="830"/>
      <c r="AD58" s="871">
        <v>12</v>
      </c>
      <c r="AE58" s="871">
        <f t="shared" si="17"/>
        <v>0</v>
      </c>
      <c r="AF58" s="872"/>
      <c r="AG58" s="830" t="s">
        <v>55</v>
      </c>
      <c r="AH58" s="830"/>
      <c r="AI58" s="830">
        <f>I58*2</f>
        <v>24</v>
      </c>
      <c r="AJ58" s="830"/>
      <c r="AK58" s="830"/>
      <c r="AL58" s="802">
        <f>I58*2</f>
        <v>24</v>
      </c>
      <c r="AN58" s="830"/>
      <c r="AO58" s="830"/>
      <c r="AQ58" s="830">
        <f>I58*2</f>
        <v>24</v>
      </c>
      <c r="AR58" s="830"/>
      <c r="AS58" s="830"/>
      <c r="AT58" s="830"/>
      <c r="BL58" s="802">
        <f>I58</f>
        <v>12</v>
      </c>
      <c r="BM58" s="802">
        <f>I58</f>
        <v>12</v>
      </c>
      <c r="BO58" s="802">
        <f>I58</f>
        <v>12</v>
      </c>
      <c r="BS58" s="888">
        <f t="shared" si="5"/>
        <v>24</v>
      </c>
      <c r="BT58" s="889">
        <f t="shared" si="6"/>
        <v>2362016</v>
      </c>
      <c r="BU58" s="888"/>
      <c r="BV58" s="888"/>
      <c r="BW58" s="888"/>
      <c r="BX58" s="888"/>
      <c r="BY58" s="891">
        <f t="shared" si="2"/>
        <v>457984</v>
      </c>
      <c r="CA58" s="805">
        <f t="shared" si="7"/>
        <v>0</v>
      </c>
      <c r="CB58" s="888">
        <f t="shared" si="8"/>
        <v>48086.5714285714</v>
      </c>
      <c r="CC58" s="888"/>
      <c r="CD58" s="888"/>
      <c r="CE58" s="888"/>
      <c r="CF58" s="888">
        <f t="shared" si="3"/>
        <v>11913.4285714286</v>
      </c>
      <c r="CG58" s="888"/>
    </row>
    <row r="59" s="802" customFormat="1" ht="31" hidden="1" customHeight="1" spans="1:85">
      <c r="A59" s="825">
        <v>45642</v>
      </c>
      <c r="B59" s="831" t="s">
        <v>1354</v>
      </c>
      <c r="C59" s="832" t="s">
        <v>84</v>
      </c>
      <c r="D59" s="833">
        <v>4500154101</v>
      </c>
      <c r="E59" s="831" t="s">
        <v>1360</v>
      </c>
      <c r="F59" s="833" t="s">
        <v>1361</v>
      </c>
      <c r="G59" s="830" t="s">
        <v>1147</v>
      </c>
      <c r="H59" s="830" t="s">
        <v>1148</v>
      </c>
      <c r="I59" s="830">
        <v>144</v>
      </c>
      <c r="J59" s="830">
        <v>0</v>
      </c>
      <c r="K59" s="830">
        <v>12</v>
      </c>
      <c r="L59" s="842">
        <f t="shared" si="9"/>
        <v>12</v>
      </c>
      <c r="M59" s="843">
        <v>45707</v>
      </c>
      <c r="N59" s="843">
        <v>45703</v>
      </c>
      <c r="O59" s="846"/>
      <c r="P59" s="844" t="s">
        <v>46</v>
      </c>
      <c r="Q59" s="830"/>
      <c r="R59" s="855">
        <v>45655</v>
      </c>
      <c r="S59" s="830" t="s">
        <v>48</v>
      </c>
      <c r="T59" s="860">
        <v>45670</v>
      </c>
      <c r="U59" s="861" t="s">
        <v>1362</v>
      </c>
      <c r="V59" s="843" t="s">
        <v>1358</v>
      </c>
      <c r="W59" s="856">
        <v>4.1259</v>
      </c>
      <c r="X59" s="859">
        <f>I59*W59</f>
        <v>594.1296</v>
      </c>
      <c r="Y59" s="830" t="s">
        <v>1363</v>
      </c>
      <c r="Z59" s="830" t="s">
        <v>1147</v>
      </c>
      <c r="AA59" s="830" t="s">
        <v>53</v>
      </c>
      <c r="AB59" s="870" t="s">
        <v>54</v>
      </c>
      <c r="AC59" s="830"/>
      <c r="AD59" s="871">
        <v>144</v>
      </c>
      <c r="AE59" s="871">
        <f t="shared" si="17"/>
        <v>0</v>
      </c>
      <c r="AF59" s="872"/>
      <c r="AG59" s="830" t="s">
        <v>55</v>
      </c>
      <c r="AH59" s="830"/>
      <c r="AI59" s="830">
        <f>I59*2</f>
        <v>288</v>
      </c>
      <c r="AJ59" s="830"/>
      <c r="AK59" s="830"/>
      <c r="AL59" s="802">
        <f>I59*2</f>
        <v>288</v>
      </c>
      <c r="AN59" s="830"/>
      <c r="AO59" s="830"/>
      <c r="AQ59" s="830">
        <f>I59*2</f>
        <v>288</v>
      </c>
      <c r="AR59" s="830"/>
      <c r="AS59" s="830"/>
      <c r="AT59" s="830"/>
      <c r="BL59" s="802">
        <f>I59</f>
        <v>144</v>
      </c>
      <c r="BM59" s="802">
        <f>I59</f>
        <v>144</v>
      </c>
      <c r="BO59" s="802">
        <f>I59</f>
        <v>144</v>
      </c>
      <c r="BS59" s="888">
        <f t="shared" si="5"/>
        <v>288</v>
      </c>
      <c r="BT59" s="889">
        <f t="shared" si="6"/>
        <v>2362304</v>
      </c>
      <c r="BU59" s="888"/>
      <c r="BV59" s="888"/>
      <c r="BW59" s="888"/>
      <c r="BX59" s="888"/>
      <c r="BY59" s="891">
        <f t="shared" si="2"/>
        <v>457696</v>
      </c>
      <c r="CA59" s="805">
        <f t="shared" si="7"/>
        <v>0</v>
      </c>
      <c r="CB59" s="888">
        <f t="shared" si="8"/>
        <v>48086.5714285714</v>
      </c>
      <c r="CC59" s="888"/>
      <c r="CD59" s="888"/>
      <c r="CE59" s="888"/>
      <c r="CF59" s="888">
        <f t="shared" si="3"/>
        <v>11913.4285714286</v>
      </c>
      <c r="CG59" s="888"/>
    </row>
    <row r="60" s="803" customFormat="1" ht="31" customHeight="1" spans="1:85">
      <c r="A60" s="834">
        <v>45594</v>
      </c>
      <c r="B60" s="835" t="s">
        <v>1364</v>
      </c>
      <c r="C60" s="836" t="s">
        <v>41</v>
      </c>
      <c r="D60" s="837">
        <v>4500149460</v>
      </c>
      <c r="E60" s="835">
        <v>61900883</v>
      </c>
      <c r="F60" s="837" t="s">
        <v>1365</v>
      </c>
      <c r="G60" s="838" t="s">
        <v>1155</v>
      </c>
      <c r="H60" s="838" t="s">
        <v>1140</v>
      </c>
      <c r="I60" s="838">
        <v>1350</v>
      </c>
      <c r="J60" s="838">
        <v>0</v>
      </c>
      <c r="K60" s="838">
        <v>50</v>
      </c>
      <c r="L60" s="847">
        <f t="shared" si="9"/>
        <v>27</v>
      </c>
      <c r="M60" s="848">
        <v>45712</v>
      </c>
      <c r="N60" s="848">
        <f>M60-4</f>
        <v>45708</v>
      </c>
      <c r="O60" s="849"/>
      <c r="P60" s="850" t="s">
        <v>46</v>
      </c>
      <c r="Q60" s="838"/>
      <c r="R60" s="862">
        <v>45660</v>
      </c>
      <c r="S60" s="838" t="s">
        <v>58</v>
      </c>
      <c r="T60" s="863" t="s">
        <v>1366</v>
      </c>
      <c r="U60" s="864" t="s">
        <v>1367</v>
      </c>
      <c r="V60" s="848" t="s">
        <v>653</v>
      </c>
      <c r="W60" s="865">
        <v>2.0019</v>
      </c>
      <c r="X60" s="866">
        <f>W60*I60</f>
        <v>2702.565</v>
      </c>
      <c r="Y60" s="838" t="s">
        <v>1368</v>
      </c>
      <c r="Z60" s="838" t="s">
        <v>1160</v>
      </c>
      <c r="AA60" s="838" t="s">
        <v>53</v>
      </c>
      <c r="AB60" s="873" t="s">
        <v>54</v>
      </c>
      <c r="AC60" s="838"/>
      <c r="AD60" s="874">
        <v>1350</v>
      </c>
      <c r="AE60" s="874">
        <f t="shared" si="17"/>
        <v>0</v>
      </c>
      <c r="AF60" s="875"/>
      <c r="AG60" s="838" t="s">
        <v>55</v>
      </c>
      <c r="AH60" s="838"/>
      <c r="AI60" s="838">
        <f t="shared" ref="AI60:AI72" si="32">I60</f>
        <v>1350</v>
      </c>
      <c r="AJ60" s="838"/>
      <c r="AK60" s="838"/>
      <c r="AN60" s="838">
        <f>I60</f>
        <v>1350</v>
      </c>
      <c r="AO60" s="838"/>
      <c r="AQ60" s="838">
        <f>I60</f>
        <v>1350</v>
      </c>
      <c r="AR60" s="838"/>
      <c r="AS60" s="838"/>
      <c r="AT60" s="838"/>
      <c r="BD60" s="803">
        <f>I60/25</f>
        <v>54</v>
      </c>
      <c r="BS60" s="888">
        <f t="shared" si="5"/>
        <v>1350</v>
      </c>
      <c r="BT60" s="889">
        <f t="shared" si="6"/>
        <v>2363654</v>
      </c>
      <c r="BU60" s="892"/>
      <c r="BV60" s="892"/>
      <c r="BW60" s="892"/>
      <c r="BX60" s="892"/>
      <c r="BY60" s="891">
        <f t="shared" si="2"/>
        <v>456346</v>
      </c>
      <c r="CA60" s="805">
        <f t="shared" si="7"/>
        <v>54</v>
      </c>
      <c r="CB60" s="888">
        <f t="shared" si="8"/>
        <v>48140.5714285714</v>
      </c>
      <c r="CC60" s="892"/>
      <c r="CD60" s="892"/>
      <c r="CE60" s="892"/>
      <c r="CF60" s="888">
        <f t="shared" si="3"/>
        <v>11859.4285714286</v>
      </c>
      <c r="CG60" s="892"/>
    </row>
    <row r="61" s="803" customFormat="1" ht="31" customHeight="1" spans="1:85">
      <c r="A61" s="834">
        <v>45611</v>
      </c>
      <c r="B61" s="835" t="s">
        <v>1364</v>
      </c>
      <c r="C61" s="839" t="s">
        <v>41</v>
      </c>
      <c r="D61" s="837">
        <v>4500151307</v>
      </c>
      <c r="E61" s="835"/>
      <c r="F61" s="837" t="s">
        <v>1369</v>
      </c>
      <c r="G61" s="838" t="s">
        <v>1155</v>
      </c>
      <c r="H61" s="838" t="s">
        <v>1140</v>
      </c>
      <c r="I61" s="838">
        <v>750</v>
      </c>
      <c r="J61" s="838">
        <v>0</v>
      </c>
      <c r="K61" s="838">
        <v>50</v>
      </c>
      <c r="L61" s="847">
        <f t="shared" si="9"/>
        <v>15</v>
      </c>
      <c r="M61" s="848">
        <v>45712</v>
      </c>
      <c r="N61" s="848">
        <v>45708</v>
      </c>
      <c r="O61" s="849"/>
      <c r="P61" s="850" t="s">
        <v>46</v>
      </c>
      <c r="Q61" s="838"/>
      <c r="R61" s="862">
        <v>45666</v>
      </c>
      <c r="S61" s="838" t="s">
        <v>58</v>
      </c>
      <c r="T61" s="863" t="s">
        <v>1370</v>
      </c>
      <c r="U61" s="864" t="s">
        <v>1371</v>
      </c>
      <c r="V61" s="848" t="s">
        <v>653</v>
      </c>
      <c r="W61" s="865">
        <v>2.0019</v>
      </c>
      <c r="X61" s="866">
        <f>W61*I61</f>
        <v>1501.425</v>
      </c>
      <c r="Y61" s="838" t="s">
        <v>1372</v>
      </c>
      <c r="Z61" s="838" t="s">
        <v>1160</v>
      </c>
      <c r="AA61" s="838" t="s">
        <v>53</v>
      </c>
      <c r="AB61" s="873" t="s">
        <v>54</v>
      </c>
      <c r="AC61" s="838"/>
      <c r="AD61" s="874">
        <v>750</v>
      </c>
      <c r="AE61" s="874">
        <f t="shared" si="17"/>
        <v>0</v>
      </c>
      <c r="AF61" s="875"/>
      <c r="AG61" s="838" t="s">
        <v>55</v>
      </c>
      <c r="AH61" s="838"/>
      <c r="AI61" s="838">
        <f t="shared" si="32"/>
        <v>750</v>
      </c>
      <c r="AJ61" s="838"/>
      <c r="AK61" s="838"/>
      <c r="AN61" s="838">
        <f>I61</f>
        <v>750</v>
      </c>
      <c r="AO61" s="838"/>
      <c r="AQ61" s="838">
        <f>I61</f>
        <v>750</v>
      </c>
      <c r="AR61" s="838"/>
      <c r="AS61" s="838"/>
      <c r="AT61" s="838"/>
      <c r="BD61" s="803">
        <f>I61/25</f>
        <v>30</v>
      </c>
      <c r="BS61" s="888">
        <f t="shared" si="5"/>
        <v>750</v>
      </c>
      <c r="BT61" s="889">
        <f t="shared" si="6"/>
        <v>2364404</v>
      </c>
      <c r="BU61" s="892"/>
      <c r="BV61" s="892"/>
      <c r="BW61" s="892"/>
      <c r="BX61" s="892"/>
      <c r="BY61" s="891">
        <f t="shared" si="2"/>
        <v>455596</v>
      </c>
      <c r="CA61" s="805">
        <f t="shared" si="7"/>
        <v>30</v>
      </c>
      <c r="CB61" s="888">
        <f t="shared" si="8"/>
        <v>48170.5714285714</v>
      </c>
      <c r="CC61" s="892"/>
      <c r="CD61" s="892"/>
      <c r="CE61" s="892"/>
      <c r="CF61" s="888">
        <f t="shared" si="3"/>
        <v>11829.4285714286</v>
      </c>
      <c r="CG61" s="892"/>
    </row>
    <row r="62" s="803" customFormat="1" ht="31" hidden="1" customHeight="1" spans="1:85">
      <c r="A62" s="834">
        <v>45651</v>
      </c>
      <c r="B62" s="835" t="s">
        <v>1373</v>
      </c>
      <c r="C62" s="839" t="s">
        <v>1374</v>
      </c>
      <c r="D62" s="837">
        <v>4500154694</v>
      </c>
      <c r="E62" s="835" t="s">
        <v>1375</v>
      </c>
      <c r="F62" s="837" t="s">
        <v>1376</v>
      </c>
      <c r="G62" s="838" t="s">
        <v>1139</v>
      </c>
      <c r="H62" s="838" t="s">
        <v>1140</v>
      </c>
      <c r="I62" s="838">
        <v>416</v>
      </c>
      <c r="J62" s="838">
        <v>0</v>
      </c>
      <c r="K62" s="838">
        <v>52</v>
      </c>
      <c r="L62" s="847">
        <f t="shared" si="9"/>
        <v>8</v>
      </c>
      <c r="M62" s="848">
        <v>45713</v>
      </c>
      <c r="N62" s="848">
        <f>M62-4</f>
        <v>45709</v>
      </c>
      <c r="O62" s="849"/>
      <c r="P62" s="850" t="s">
        <v>46</v>
      </c>
      <c r="Q62" s="838"/>
      <c r="R62" s="862">
        <v>45651</v>
      </c>
      <c r="S62" s="838" t="s">
        <v>58</v>
      </c>
      <c r="T62" s="863">
        <v>45659</v>
      </c>
      <c r="U62" s="864" t="s">
        <v>1377</v>
      </c>
      <c r="V62" s="848" t="s">
        <v>183</v>
      </c>
      <c r="W62" s="865">
        <v>1.8868</v>
      </c>
      <c r="X62" s="866">
        <f>I62*W62</f>
        <v>784.9088</v>
      </c>
      <c r="Y62" s="838" t="s">
        <v>1378</v>
      </c>
      <c r="Z62" s="838" t="s">
        <v>1139</v>
      </c>
      <c r="AA62" s="838" t="s">
        <v>53</v>
      </c>
      <c r="AB62" s="873" t="s">
        <v>54</v>
      </c>
      <c r="AC62" s="838"/>
      <c r="AD62" s="874">
        <v>416</v>
      </c>
      <c r="AE62" s="874">
        <f t="shared" si="17"/>
        <v>0</v>
      </c>
      <c r="AF62" s="875"/>
      <c r="AG62" s="838" t="s">
        <v>55</v>
      </c>
      <c r="AH62" s="838"/>
      <c r="AI62" s="838">
        <f t="shared" si="32"/>
        <v>416</v>
      </c>
      <c r="AJ62" s="838"/>
      <c r="AK62" s="838">
        <f>I62</f>
        <v>416</v>
      </c>
      <c r="AN62" s="838"/>
      <c r="AO62" s="838"/>
      <c r="AQ62" s="838">
        <f>I62</f>
        <v>416</v>
      </c>
      <c r="AR62" s="838"/>
      <c r="AS62" s="838"/>
      <c r="AT62" s="838"/>
      <c r="BA62" s="803">
        <f>I62/13</f>
        <v>32</v>
      </c>
      <c r="BS62" s="888">
        <f t="shared" si="5"/>
        <v>416</v>
      </c>
      <c r="BT62" s="889">
        <f t="shared" si="6"/>
        <v>2364820</v>
      </c>
      <c r="BU62" s="892"/>
      <c r="BV62" s="892"/>
      <c r="BW62" s="892"/>
      <c r="BX62" s="892"/>
      <c r="BY62" s="891">
        <f t="shared" si="2"/>
        <v>455180</v>
      </c>
      <c r="CA62" s="805">
        <f t="shared" si="7"/>
        <v>0</v>
      </c>
      <c r="CB62" s="888">
        <f t="shared" si="8"/>
        <v>48170.5714285714</v>
      </c>
      <c r="CC62" s="892"/>
      <c r="CD62" s="892"/>
      <c r="CE62" s="892"/>
      <c r="CF62" s="888">
        <f t="shared" si="3"/>
        <v>11829.4285714286</v>
      </c>
      <c r="CG62" s="892"/>
    </row>
    <row r="63" s="803" customFormat="1" ht="31" customHeight="1" spans="1:85">
      <c r="A63" s="834">
        <v>45651</v>
      </c>
      <c r="B63" s="835" t="s">
        <v>178</v>
      </c>
      <c r="C63" s="839" t="s">
        <v>179</v>
      </c>
      <c r="D63" s="837">
        <v>4500154656</v>
      </c>
      <c r="E63" s="835" t="s">
        <v>1379</v>
      </c>
      <c r="F63" s="837" t="s">
        <v>1380</v>
      </c>
      <c r="G63" s="838" t="s">
        <v>1155</v>
      </c>
      <c r="H63" s="838" t="s">
        <v>1140</v>
      </c>
      <c r="I63" s="838">
        <v>5000</v>
      </c>
      <c r="J63" s="838">
        <v>0</v>
      </c>
      <c r="K63" s="838">
        <v>50</v>
      </c>
      <c r="L63" s="847">
        <f t="shared" si="9"/>
        <v>100</v>
      </c>
      <c r="M63" s="848">
        <v>45716</v>
      </c>
      <c r="N63" s="848">
        <v>45712</v>
      </c>
      <c r="O63" s="849"/>
      <c r="P63" s="850" t="s">
        <v>46</v>
      </c>
      <c r="Q63" s="838"/>
      <c r="R63" s="862">
        <v>45651</v>
      </c>
      <c r="S63" s="838" t="s">
        <v>58</v>
      </c>
      <c r="T63" s="863">
        <v>45677</v>
      </c>
      <c r="U63" s="864" t="s">
        <v>1381</v>
      </c>
      <c r="V63" s="848" t="s">
        <v>183</v>
      </c>
      <c r="W63" s="865">
        <v>1.9731</v>
      </c>
      <c r="X63" s="866">
        <f>I63*W63</f>
        <v>9865.5</v>
      </c>
      <c r="Y63" s="838" t="s">
        <v>1382</v>
      </c>
      <c r="Z63" s="838" t="s">
        <v>1155</v>
      </c>
      <c r="AA63" s="838" t="s">
        <v>53</v>
      </c>
      <c r="AB63" s="873" t="s">
        <v>54</v>
      </c>
      <c r="AC63" s="838"/>
      <c r="AD63" s="874">
        <v>5000</v>
      </c>
      <c r="AE63" s="874">
        <f t="shared" si="17"/>
        <v>0</v>
      </c>
      <c r="AF63" s="875"/>
      <c r="AG63" s="838" t="s">
        <v>55</v>
      </c>
      <c r="AH63" s="838"/>
      <c r="AI63" s="838">
        <f t="shared" si="32"/>
        <v>5000</v>
      </c>
      <c r="AJ63" s="838"/>
      <c r="AK63" s="838">
        <f>I63</f>
        <v>5000</v>
      </c>
      <c r="AN63" s="838"/>
      <c r="AO63" s="838"/>
      <c r="AQ63" s="838">
        <f>I63</f>
        <v>5000</v>
      </c>
      <c r="AR63" s="838"/>
      <c r="AS63" s="838"/>
      <c r="AT63" s="838"/>
      <c r="BC63" s="803">
        <f>I63/25</f>
        <v>200</v>
      </c>
      <c r="BS63" s="888">
        <f t="shared" si="5"/>
        <v>5000</v>
      </c>
      <c r="BT63" s="889">
        <f t="shared" si="6"/>
        <v>2369820</v>
      </c>
      <c r="BU63" s="892"/>
      <c r="BV63" s="892"/>
      <c r="BW63" s="892"/>
      <c r="BX63" s="892"/>
      <c r="BY63" s="891">
        <f t="shared" si="2"/>
        <v>450180</v>
      </c>
      <c r="CA63" s="805">
        <f t="shared" si="7"/>
        <v>200</v>
      </c>
      <c r="CB63" s="888">
        <f t="shared" si="8"/>
        <v>48370.5714285714</v>
      </c>
      <c r="CC63" s="892"/>
      <c r="CD63" s="892"/>
      <c r="CE63" s="892"/>
      <c r="CF63" s="888">
        <f t="shared" si="3"/>
        <v>11629.4285714286</v>
      </c>
      <c r="CG63" s="892"/>
    </row>
    <row r="64" s="803" customFormat="1" ht="31" hidden="1" customHeight="1" spans="1:85">
      <c r="A64" s="834">
        <v>45660</v>
      </c>
      <c r="B64" s="835" t="s">
        <v>1136</v>
      </c>
      <c r="C64" s="839" t="s">
        <v>63</v>
      </c>
      <c r="D64" s="837">
        <v>4500154847</v>
      </c>
      <c r="E64" s="835" t="s">
        <v>1383</v>
      </c>
      <c r="F64" s="837" t="s">
        <v>1384</v>
      </c>
      <c r="G64" s="838" t="s">
        <v>1139</v>
      </c>
      <c r="H64" s="838" t="s">
        <v>1140</v>
      </c>
      <c r="I64" s="838">
        <v>3224</v>
      </c>
      <c r="J64" s="838">
        <v>0</v>
      </c>
      <c r="K64" s="838">
        <v>52</v>
      </c>
      <c r="L64" s="847">
        <f t="shared" si="9"/>
        <v>62</v>
      </c>
      <c r="M64" s="848">
        <v>45716</v>
      </c>
      <c r="N64" s="848">
        <v>45712</v>
      </c>
      <c r="O64" s="849"/>
      <c r="P64" s="850" t="s">
        <v>46</v>
      </c>
      <c r="Q64" s="838"/>
      <c r="R64" s="862">
        <v>45663</v>
      </c>
      <c r="S64" s="838" t="s">
        <v>58</v>
      </c>
      <c r="T64" s="863" t="s">
        <v>1385</v>
      </c>
      <c r="U64" s="864" t="s">
        <v>1386</v>
      </c>
      <c r="V64" s="848" t="s">
        <v>67</v>
      </c>
      <c r="W64" s="865">
        <v>1.8809</v>
      </c>
      <c r="X64" s="866">
        <f>I64*W64</f>
        <v>6064.0216</v>
      </c>
      <c r="Y64" s="838" t="s">
        <v>1387</v>
      </c>
      <c r="Z64" s="838" t="s">
        <v>1139</v>
      </c>
      <c r="AA64" s="838" t="s">
        <v>53</v>
      </c>
      <c r="AB64" s="873" t="s">
        <v>54</v>
      </c>
      <c r="AC64" s="838"/>
      <c r="AD64" s="874">
        <v>3224</v>
      </c>
      <c r="AE64" s="874">
        <f t="shared" si="17"/>
        <v>0</v>
      </c>
      <c r="AF64" s="875"/>
      <c r="AG64" s="838" t="s">
        <v>55</v>
      </c>
      <c r="AH64" s="838"/>
      <c r="AI64" s="838">
        <f t="shared" si="32"/>
        <v>3224</v>
      </c>
      <c r="AJ64" s="838"/>
      <c r="AK64" s="838">
        <f>I64</f>
        <v>3224</v>
      </c>
      <c r="AN64" s="838"/>
      <c r="AO64" s="838"/>
      <c r="AQ64" s="838">
        <f>I64</f>
        <v>3224</v>
      </c>
      <c r="AR64" s="838"/>
      <c r="AS64" s="838"/>
      <c r="AT64" s="838"/>
      <c r="BA64" s="803">
        <f>I64/13</f>
        <v>248</v>
      </c>
      <c r="BS64" s="888">
        <f t="shared" si="5"/>
        <v>3224</v>
      </c>
      <c r="BT64" s="889">
        <f t="shared" si="6"/>
        <v>2373044</v>
      </c>
      <c r="BU64" s="892"/>
      <c r="BV64" s="892"/>
      <c r="BW64" s="892"/>
      <c r="BX64" s="892"/>
      <c r="BY64" s="891">
        <f t="shared" si="2"/>
        <v>446956</v>
      </c>
      <c r="CA64" s="805">
        <f t="shared" si="7"/>
        <v>0</v>
      </c>
      <c r="CB64" s="888">
        <f t="shared" si="8"/>
        <v>48370.5714285714</v>
      </c>
      <c r="CC64" s="892"/>
      <c r="CD64" s="892"/>
      <c r="CE64" s="892"/>
      <c r="CF64" s="888">
        <f t="shared" si="3"/>
        <v>11629.4285714286</v>
      </c>
      <c r="CG64" s="892"/>
    </row>
    <row r="65" s="803" customFormat="1" ht="31" hidden="1" customHeight="1" spans="1:85">
      <c r="A65" s="834">
        <v>45649</v>
      </c>
      <c r="B65" s="835" t="s">
        <v>1186</v>
      </c>
      <c r="C65" s="839" t="s">
        <v>84</v>
      </c>
      <c r="D65" s="837">
        <v>4500154533</v>
      </c>
      <c r="E65" s="835" t="s">
        <v>1388</v>
      </c>
      <c r="F65" s="837" t="s">
        <v>1389</v>
      </c>
      <c r="G65" s="838" t="s">
        <v>1189</v>
      </c>
      <c r="H65" s="838" t="s">
        <v>1140</v>
      </c>
      <c r="I65" s="838">
        <v>2304</v>
      </c>
      <c r="J65" s="838">
        <v>0</v>
      </c>
      <c r="K65" s="838">
        <v>1152</v>
      </c>
      <c r="L65" s="847">
        <f t="shared" si="9"/>
        <v>2</v>
      </c>
      <c r="M65" s="848">
        <v>45719</v>
      </c>
      <c r="N65" s="848">
        <v>45715</v>
      </c>
      <c r="O65" s="849"/>
      <c r="P65" s="850" t="s">
        <v>46</v>
      </c>
      <c r="Q65" s="838"/>
      <c r="R65" s="862" t="s">
        <v>968</v>
      </c>
      <c r="S65" s="838" t="s">
        <v>58</v>
      </c>
      <c r="T65" s="863" t="s">
        <v>1330</v>
      </c>
      <c r="U65" s="864" t="s">
        <v>1390</v>
      </c>
      <c r="V65" s="848" t="s">
        <v>207</v>
      </c>
      <c r="W65" s="865">
        <v>2220.2067</v>
      </c>
      <c r="X65" s="866">
        <f t="shared" ref="X65:X70" si="33">W65*L65</f>
        <v>4440.4134</v>
      </c>
      <c r="Y65" s="838" t="s">
        <v>1391</v>
      </c>
      <c r="Z65" s="838" t="s">
        <v>1189</v>
      </c>
      <c r="AA65" s="838" t="s">
        <v>53</v>
      </c>
      <c r="AB65" s="873" t="s">
        <v>54</v>
      </c>
      <c r="AC65" s="838"/>
      <c r="AD65" s="895">
        <v>2304</v>
      </c>
      <c r="AE65" s="874">
        <f t="shared" si="17"/>
        <v>0</v>
      </c>
      <c r="AF65" s="875"/>
      <c r="AG65" s="838"/>
      <c r="AH65" s="838"/>
      <c r="AI65" s="838">
        <f t="shared" si="32"/>
        <v>2304</v>
      </c>
      <c r="AJ65" s="838"/>
      <c r="AK65" s="838">
        <f t="shared" ref="AK65:AK71" si="34">I65</f>
        <v>2304</v>
      </c>
      <c r="AN65" s="838"/>
      <c r="AO65" s="838"/>
      <c r="AQ65" s="838"/>
      <c r="AR65" s="838"/>
      <c r="AS65" s="838">
        <f t="shared" ref="AS65:AS70" si="35">I65</f>
        <v>2304</v>
      </c>
      <c r="AT65" s="838"/>
      <c r="AX65" s="803">
        <f t="shared" ref="AX65:AX70" si="36">I65/12</f>
        <v>192</v>
      </c>
      <c r="BS65" s="888">
        <f t="shared" si="5"/>
        <v>2304</v>
      </c>
      <c r="BT65" s="889">
        <f t="shared" si="6"/>
        <v>2375348</v>
      </c>
      <c r="BU65" s="892"/>
      <c r="BV65" s="892"/>
      <c r="BW65" s="892"/>
      <c r="BX65" s="892"/>
      <c r="BY65" s="891">
        <f t="shared" si="2"/>
        <v>444652</v>
      </c>
      <c r="CA65" s="805">
        <f t="shared" si="7"/>
        <v>0</v>
      </c>
      <c r="CB65" s="888">
        <f t="shared" si="8"/>
        <v>48370.5714285714</v>
      </c>
      <c r="CC65" s="892"/>
      <c r="CD65" s="892"/>
      <c r="CE65" s="892"/>
      <c r="CF65" s="888">
        <f t="shared" si="3"/>
        <v>11629.4285714286</v>
      </c>
      <c r="CG65" s="892"/>
    </row>
    <row r="66" s="803" customFormat="1" ht="31" hidden="1" customHeight="1" spans="1:85">
      <c r="A66" s="834">
        <v>45649</v>
      </c>
      <c r="B66" s="835" t="s">
        <v>1186</v>
      </c>
      <c r="C66" s="839" t="s">
        <v>84</v>
      </c>
      <c r="D66" s="837">
        <v>4500154533</v>
      </c>
      <c r="E66" s="835" t="s">
        <v>1392</v>
      </c>
      <c r="F66" s="837" t="s">
        <v>1393</v>
      </c>
      <c r="G66" s="838" t="s">
        <v>1189</v>
      </c>
      <c r="H66" s="838" t="s">
        <v>1140</v>
      </c>
      <c r="I66" s="838">
        <v>1152</v>
      </c>
      <c r="J66" s="838">
        <v>0</v>
      </c>
      <c r="K66" s="838">
        <v>1152</v>
      </c>
      <c r="L66" s="847">
        <f t="shared" si="9"/>
        <v>1</v>
      </c>
      <c r="M66" s="848">
        <v>45719</v>
      </c>
      <c r="N66" s="848">
        <v>45715</v>
      </c>
      <c r="O66" s="849"/>
      <c r="P66" s="850" t="s">
        <v>46</v>
      </c>
      <c r="Q66" s="838"/>
      <c r="R66" s="862" t="s">
        <v>968</v>
      </c>
      <c r="S66" s="838" t="s">
        <v>58</v>
      </c>
      <c r="T66" s="863" t="s">
        <v>1330</v>
      </c>
      <c r="U66" s="864" t="s">
        <v>1390</v>
      </c>
      <c r="V66" s="848" t="s">
        <v>207</v>
      </c>
      <c r="W66" s="865">
        <v>2220.2067</v>
      </c>
      <c r="X66" s="866">
        <f t="shared" si="33"/>
        <v>2220.2067</v>
      </c>
      <c r="Y66" s="838" t="s">
        <v>1394</v>
      </c>
      <c r="Z66" s="838" t="s">
        <v>1189</v>
      </c>
      <c r="AA66" s="838" t="s">
        <v>53</v>
      </c>
      <c r="AB66" s="873" t="s">
        <v>54</v>
      </c>
      <c r="AC66" s="838"/>
      <c r="AD66" s="895">
        <v>1152</v>
      </c>
      <c r="AE66" s="874">
        <f t="shared" si="17"/>
        <v>0</v>
      </c>
      <c r="AF66" s="875"/>
      <c r="AG66" s="838"/>
      <c r="AH66" s="838"/>
      <c r="AI66" s="838">
        <f t="shared" si="32"/>
        <v>1152</v>
      </c>
      <c r="AJ66" s="838"/>
      <c r="AK66" s="838">
        <f t="shared" si="34"/>
        <v>1152</v>
      </c>
      <c r="AN66" s="838"/>
      <c r="AO66" s="838"/>
      <c r="AQ66" s="838"/>
      <c r="AR66" s="838"/>
      <c r="AS66" s="838">
        <f t="shared" si="35"/>
        <v>1152</v>
      </c>
      <c r="AT66" s="838"/>
      <c r="AX66" s="803">
        <f t="shared" si="36"/>
        <v>96</v>
      </c>
      <c r="BS66" s="888">
        <f t="shared" si="5"/>
        <v>1152</v>
      </c>
      <c r="BT66" s="889">
        <f t="shared" si="6"/>
        <v>2376500</v>
      </c>
      <c r="BU66" s="892"/>
      <c r="BV66" s="892"/>
      <c r="BW66" s="892"/>
      <c r="BX66" s="892"/>
      <c r="BY66" s="891">
        <f t="shared" si="2"/>
        <v>443500</v>
      </c>
      <c r="CA66" s="805">
        <f t="shared" si="7"/>
        <v>0</v>
      </c>
      <c r="CB66" s="888">
        <f t="shared" si="8"/>
        <v>48370.5714285714</v>
      </c>
      <c r="CC66" s="892"/>
      <c r="CD66" s="892"/>
      <c r="CE66" s="892"/>
      <c r="CF66" s="888">
        <f t="shared" si="3"/>
        <v>11629.4285714286</v>
      </c>
      <c r="CG66" s="892"/>
    </row>
    <row r="67" s="803" customFormat="1" ht="31" hidden="1" customHeight="1" spans="1:85">
      <c r="A67" s="834">
        <v>45649</v>
      </c>
      <c r="B67" s="835" t="s">
        <v>1186</v>
      </c>
      <c r="C67" s="839" t="s">
        <v>84</v>
      </c>
      <c r="D67" s="837">
        <v>4500154533</v>
      </c>
      <c r="E67" s="835" t="s">
        <v>1395</v>
      </c>
      <c r="F67" s="837" t="s">
        <v>1396</v>
      </c>
      <c r="G67" s="838" t="s">
        <v>1189</v>
      </c>
      <c r="H67" s="838" t="s">
        <v>1140</v>
      </c>
      <c r="I67" s="838">
        <v>1152</v>
      </c>
      <c r="J67" s="838">
        <v>0</v>
      </c>
      <c r="K67" s="838">
        <v>1152</v>
      </c>
      <c r="L67" s="847">
        <f t="shared" si="9"/>
        <v>1</v>
      </c>
      <c r="M67" s="848">
        <v>45719</v>
      </c>
      <c r="N67" s="848">
        <v>45715</v>
      </c>
      <c r="O67" s="849"/>
      <c r="P67" s="850" t="s">
        <v>46</v>
      </c>
      <c r="Q67" s="838"/>
      <c r="R67" s="862" t="s">
        <v>968</v>
      </c>
      <c r="S67" s="838" t="s">
        <v>58</v>
      </c>
      <c r="T67" s="863" t="s">
        <v>1330</v>
      </c>
      <c r="U67" s="864" t="s">
        <v>1390</v>
      </c>
      <c r="V67" s="848" t="s">
        <v>207</v>
      </c>
      <c r="W67" s="865">
        <v>2220.2067</v>
      </c>
      <c r="X67" s="866">
        <f t="shared" si="33"/>
        <v>2220.2067</v>
      </c>
      <c r="Y67" s="838" t="s">
        <v>1397</v>
      </c>
      <c r="Z67" s="838" t="s">
        <v>1189</v>
      </c>
      <c r="AA67" s="838" t="s">
        <v>53</v>
      </c>
      <c r="AB67" s="873" t="s">
        <v>54</v>
      </c>
      <c r="AC67" s="838"/>
      <c r="AD67" s="874">
        <v>1152</v>
      </c>
      <c r="AE67" s="874">
        <f t="shared" si="17"/>
        <v>0</v>
      </c>
      <c r="AF67" s="875"/>
      <c r="AG67" s="838"/>
      <c r="AH67" s="838"/>
      <c r="AI67" s="838">
        <f t="shared" si="32"/>
        <v>1152</v>
      </c>
      <c r="AJ67" s="838"/>
      <c r="AK67" s="838">
        <f t="shared" si="34"/>
        <v>1152</v>
      </c>
      <c r="AN67" s="838"/>
      <c r="AO67" s="838"/>
      <c r="AQ67" s="838"/>
      <c r="AR67" s="838"/>
      <c r="AS67" s="838">
        <f t="shared" si="35"/>
        <v>1152</v>
      </c>
      <c r="AT67" s="838"/>
      <c r="AX67" s="803">
        <f t="shared" si="36"/>
        <v>96</v>
      </c>
      <c r="BS67" s="888">
        <f t="shared" si="5"/>
        <v>1152</v>
      </c>
      <c r="BT67" s="889">
        <f t="shared" si="6"/>
        <v>2377652</v>
      </c>
      <c r="BU67" s="892"/>
      <c r="BV67" s="892"/>
      <c r="BW67" s="892"/>
      <c r="BX67" s="892"/>
      <c r="BY67" s="891">
        <f t="shared" ref="BY67:BY130" si="37">SUM(BV$1:BZ$1)-BT67</f>
        <v>442348</v>
      </c>
      <c r="CA67" s="805">
        <f t="shared" si="7"/>
        <v>0</v>
      </c>
      <c r="CB67" s="888">
        <f t="shared" si="8"/>
        <v>48370.5714285714</v>
      </c>
      <c r="CC67" s="892"/>
      <c r="CD67" s="892"/>
      <c r="CE67" s="892"/>
      <c r="CF67" s="888">
        <f t="shared" ref="CF67:CF130" si="38">$CD$1+$CE$1+$CF$1+$CG$1-CB67</f>
        <v>11629.4285714286</v>
      </c>
      <c r="CG67" s="892"/>
    </row>
    <row r="68" s="803" customFormat="1" ht="31" hidden="1" customHeight="1" spans="1:85">
      <c r="A68" s="834">
        <v>45649</v>
      </c>
      <c r="B68" s="835" t="s">
        <v>1186</v>
      </c>
      <c r="C68" s="839" t="s">
        <v>84</v>
      </c>
      <c r="D68" s="837">
        <v>4500154533</v>
      </c>
      <c r="E68" s="835" t="s">
        <v>1398</v>
      </c>
      <c r="F68" s="837" t="s">
        <v>1399</v>
      </c>
      <c r="G68" s="838" t="s">
        <v>1189</v>
      </c>
      <c r="H68" s="838" t="s">
        <v>1140</v>
      </c>
      <c r="I68" s="838">
        <v>1152</v>
      </c>
      <c r="J68" s="838">
        <v>0</v>
      </c>
      <c r="K68" s="838">
        <v>1152</v>
      </c>
      <c r="L68" s="847">
        <f t="shared" si="9"/>
        <v>1</v>
      </c>
      <c r="M68" s="848">
        <v>45719</v>
      </c>
      <c r="N68" s="848">
        <v>45715</v>
      </c>
      <c r="O68" s="849"/>
      <c r="P68" s="850" t="s">
        <v>46</v>
      </c>
      <c r="Q68" s="838"/>
      <c r="R68" s="862" t="s">
        <v>968</v>
      </c>
      <c r="S68" s="838" t="s">
        <v>58</v>
      </c>
      <c r="T68" s="863" t="s">
        <v>1330</v>
      </c>
      <c r="U68" s="864" t="s">
        <v>1390</v>
      </c>
      <c r="V68" s="848" t="s">
        <v>207</v>
      </c>
      <c r="W68" s="865">
        <v>2220.2067</v>
      </c>
      <c r="X68" s="866">
        <f t="shared" si="33"/>
        <v>2220.2067</v>
      </c>
      <c r="Y68" s="838" t="s">
        <v>1391</v>
      </c>
      <c r="Z68" s="838" t="s">
        <v>1189</v>
      </c>
      <c r="AA68" s="838" t="s">
        <v>53</v>
      </c>
      <c r="AB68" s="873" t="s">
        <v>54</v>
      </c>
      <c r="AC68" s="838"/>
      <c r="AD68" s="874">
        <v>1152</v>
      </c>
      <c r="AE68" s="874">
        <f t="shared" si="17"/>
        <v>0</v>
      </c>
      <c r="AF68" s="875"/>
      <c r="AG68" s="838"/>
      <c r="AH68" s="838"/>
      <c r="AI68" s="838">
        <f t="shared" si="32"/>
        <v>1152</v>
      </c>
      <c r="AJ68" s="838"/>
      <c r="AK68" s="838">
        <f t="shared" si="34"/>
        <v>1152</v>
      </c>
      <c r="AN68" s="838"/>
      <c r="AO68" s="838"/>
      <c r="AQ68" s="838"/>
      <c r="AR68" s="838"/>
      <c r="AS68" s="838">
        <f t="shared" si="35"/>
        <v>1152</v>
      </c>
      <c r="AT68" s="838"/>
      <c r="AX68" s="803">
        <f t="shared" si="36"/>
        <v>96</v>
      </c>
      <c r="BS68" s="888">
        <f t="shared" ref="BS68:BS131" si="39">AI68+AJ68</f>
        <v>1152</v>
      </c>
      <c r="BT68" s="889">
        <f t="shared" ref="BT68:BT131" si="40">BT67+BS68</f>
        <v>2378804</v>
      </c>
      <c r="BU68" s="892"/>
      <c r="BV68" s="892"/>
      <c r="BW68" s="892"/>
      <c r="BX68" s="892"/>
      <c r="BY68" s="891">
        <f t="shared" si="37"/>
        <v>441196</v>
      </c>
      <c r="CA68" s="805">
        <f t="shared" ref="CA68:CA131" si="41">AU68+AV68+BC68+BD68</f>
        <v>0</v>
      </c>
      <c r="CB68" s="888">
        <f t="shared" ref="CB68:CB131" si="42">CB67+CA68</f>
        <v>48370.5714285714</v>
      </c>
      <c r="CC68" s="892"/>
      <c r="CD68" s="892"/>
      <c r="CE68" s="892"/>
      <c r="CF68" s="888">
        <f t="shared" si="38"/>
        <v>11629.4285714286</v>
      </c>
      <c r="CG68" s="892"/>
    </row>
    <row r="69" s="803" customFormat="1" ht="31" hidden="1" customHeight="1" spans="1:85">
      <c r="A69" s="834">
        <v>45649</v>
      </c>
      <c r="B69" s="835" t="s">
        <v>1186</v>
      </c>
      <c r="C69" s="839" t="s">
        <v>84</v>
      </c>
      <c r="D69" s="837">
        <v>4500154533</v>
      </c>
      <c r="E69" s="835" t="s">
        <v>1400</v>
      </c>
      <c r="F69" s="837" t="s">
        <v>1401</v>
      </c>
      <c r="G69" s="838" t="s">
        <v>1189</v>
      </c>
      <c r="H69" s="838" t="s">
        <v>1140</v>
      </c>
      <c r="I69" s="838">
        <v>1152</v>
      </c>
      <c r="J69" s="838">
        <v>0</v>
      </c>
      <c r="K69" s="838">
        <v>1152</v>
      </c>
      <c r="L69" s="847">
        <f t="shared" si="9"/>
        <v>1</v>
      </c>
      <c r="M69" s="848">
        <v>45719</v>
      </c>
      <c r="N69" s="848">
        <v>45715</v>
      </c>
      <c r="O69" s="849"/>
      <c r="P69" s="850" t="s">
        <v>46</v>
      </c>
      <c r="Q69" s="838"/>
      <c r="R69" s="862" t="s">
        <v>968</v>
      </c>
      <c r="S69" s="838" t="s">
        <v>58</v>
      </c>
      <c r="T69" s="863" t="s">
        <v>1330</v>
      </c>
      <c r="U69" s="864" t="s">
        <v>1390</v>
      </c>
      <c r="V69" s="848" t="s">
        <v>207</v>
      </c>
      <c r="W69" s="865">
        <v>2220.2067</v>
      </c>
      <c r="X69" s="866">
        <f t="shared" si="33"/>
        <v>2220.2067</v>
      </c>
      <c r="Y69" s="838" t="s">
        <v>1402</v>
      </c>
      <c r="Z69" s="838" t="s">
        <v>1189</v>
      </c>
      <c r="AA69" s="838" t="s">
        <v>53</v>
      </c>
      <c r="AB69" s="873" t="s">
        <v>54</v>
      </c>
      <c r="AC69" s="838"/>
      <c r="AD69" s="874">
        <v>1152</v>
      </c>
      <c r="AE69" s="874">
        <f t="shared" si="17"/>
        <v>0</v>
      </c>
      <c r="AF69" s="875"/>
      <c r="AG69" s="838"/>
      <c r="AH69" s="838"/>
      <c r="AI69" s="838">
        <f t="shared" si="32"/>
        <v>1152</v>
      </c>
      <c r="AJ69" s="838"/>
      <c r="AK69" s="838">
        <f t="shared" si="34"/>
        <v>1152</v>
      </c>
      <c r="AN69" s="838"/>
      <c r="AO69" s="838"/>
      <c r="AQ69" s="838"/>
      <c r="AR69" s="838"/>
      <c r="AS69" s="838">
        <f t="shared" si="35"/>
        <v>1152</v>
      </c>
      <c r="AT69" s="838"/>
      <c r="AX69" s="803">
        <f t="shared" si="36"/>
        <v>96</v>
      </c>
      <c r="BS69" s="888">
        <f t="shared" si="39"/>
        <v>1152</v>
      </c>
      <c r="BT69" s="889">
        <f t="shared" si="40"/>
        <v>2379956</v>
      </c>
      <c r="BU69" s="892"/>
      <c r="BV69" s="892"/>
      <c r="BW69" s="892"/>
      <c r="BX69" s="892"/>
      <c r="BY69" s="891">
        <f t="shared" si="37"/>
        <v>440044</v>
      </c>
      <c r="CA69" s="805">
        <f t="shared" si="41"/>
        <v>0</v>
      </c>
      <c r="CB69" s="888">
        <f t="shared" si="42"/>
        <v>48370.5714285714</v>
      </c>
      <c r="CC69" s="892"/>
      <c r="CD69" s="892"/>
      <c r="CE69" s="892"/>
      <c r="CF69" s="888">
        <f t="shared" si="38"/>
        <v>11629.4285714286</v>
      </c>
      <c r="CG69" s="892"/>
    </row>
    <row r="70" s="803" customFormat="1" ht="31" hidden="1" customHeight="1" spans="1:85">
      <c r="A70" s="834">
        <v>45649</v>
      </c>
      <c r="B70" s="835" t="s">
        <v>1186</v>
      </c>
      <c r="C70" s="839" t="s">
        <v>84</v>
      </c>
      <c r="D70" s="837">
        <v>4500154533</v>
      </c>
      <c r="E70" s="835" t="s">
        <v>1403</v>
      </c>
      <c r="F70" s="837" t="s">
        <v>1404</v>
      </c>
      <c r="G70" s="838" t="s">
        <v>1189</v>
      </c>
      <c r="H70" s="838" t="s">
        <v>1140</v>
      </c>
      <c r="I70" s="838">
        <v>1152</v>
      </c>
      <c r="J70" s="838">
        <v>0</v>
      </c>
      <c r="K70" s="838">
        <v>1152</v>
      </c>
      <c r="L70" s="847">
        <f t="shared" si="9"/>
        <v>1</v>
      </c>
      <c r="M70" s="848">
        <v>45719</v>
      </c>
      <c r="N70" s="848">
        <v>45715</v>
      </c>
      <c r="O70" s="849"/>
      <c r="P70" s="850" t="s">
        <v>46</v>
      </c>
      <c r="Q70" s="838"/>
      <c r="R70" s="862" t="s">
        <v>968</v>
      </c>
      <c r="S70" s="838" t="s">
        <v>58</v>
      </c>
      <c r="T70" s="863" t="s">
        <v>1330</v>
      </c>
      <c r="U70" s="864" t="s">
        <v>1390</v>
      </c>
      <c r="V70" s="848" t="s">
        <v>207</v>
      </c>
      <c r="W70" s="865">
        <v>2220.2067</v>
      </c>
      <c r="X70" s="866">
        <f t="shared" si="33"/>
        <v>2220.2067</v>
      </c>
      <c r="Y70" s="838" t="s">
        <v>1405</v>
      </c>
      <c r="Z70" s="838" t="s">
        <v>1189</v>
      </c>
      <c r="AA70" s="838" t="s">
        <v>53</v>
      </c>
      <c r="AB70" s="873" t="s">
        <v>54</v>
      </c>
      <c r="AC70" s="838"/>
      <c r="AD70" s="874">
        <v>1152</v>
      </c>
      <c r="AE70" s="874">
        <f t="shared" si="17"/>
        <v>0</v>
      </c>
      <c r="AF70" s="875"/>
      <c r="AG70" s="838"/>
      <c r="AH70" s="838"/>
      <c r="AI70" s="838">
        <f t="shared" si="32"/>
        <v>1152</v>
      </c>
      <c r="AJ70" s="838"/>
      <c r="AK70" s="838">
        <f t="shared" si="34"/>
        <v>1152</v>
      </c>
      <c r="AN70" s="838"/>
      <c r="AO70" s="838"/>
      <c r="AQ70" s="838"/>
      <c r="AR70" s="838"/>
      <c r="AS70" s="838">
        <f t="shared" si="35"/>
        <v>1152</v>
      </c>
      <c r="AT70" s="838"/>
      <c r="AX70" s="803">
        <f t="shared" si="36"/>
        <v>96</v>
      </c>
      <c r="BS70" s="888">
        <f t="shared" si="39"/>
        <v>1152</v>
      </c>
      <c r="BT70" s="889">
        <f t="shared" si="40"/>
        <v>2381108</v>
      </c>
      <c r="BU70" s="892"/>
      <c r="BV70" s="892"/>
      <c r="BW70" s="892"/>
      <c r="BX70" s="892"/>
      <c r="BY70" s="891">
        <f t="shared" si="37"/>
        <v>438892</v>
      </c>
      <c r="CA70" s="805">
        <f t="shared" si="41"/>
        <v>0</v>
      </c>
      <c r="CB70" s="888">
        <f t="shared" si="42"/>
        <v>48370.5714285714</v>
      </c>
      <c r="CC70" s="892"/>
      <c r="CD70" s="892"/>
      <c r="CE70" s="892"/>
      <c r="CF70" s="888">
        <f t="shared" si="38"/>
        <v>11629.4285714286</v>
      </c>
      <c r="CG70" s="892"/>
    </row>
    <row r="71" s="803" customFormat="1" ht="31" hidden="1" customHeight="1" spans="1:85">
      <c r="A71" s="834">
        <v>45649</v>
      </c>
      <c r="B71" s="835" t="s">
        <v>551</v>
      </c>
      <c r="C71" s="839" t="s">
        <v>552</v>
      </c>
      <c r="D71" s="837">
        <v>4500154572</v>
      </c>
      <c r="E71" s="835" t="s">
        <v>1406</v>
      </c>
      <c r="F71" s="837" t="s">
        <v>1407</v>
      </c>
      <c r="G71" s="838" t="s">
        <v>1139</v>
      </c>
      <c r="H71" s="838" t="s">
        <v>1140</v>
      </c>
      <c r="I71" s="838">
        <v>2080</v>
      </c>
      <c r="J71" s="838">
        <v>0</v>
      </c>
      <c r="K71" s="838">
        <v>52</v>
      </c>
      <c r="L71" s="847">
        <f t="shared" si="9"/>
        <v>40</v>
      </c>
      <c r="M71" s="848">
        <v>45723</v>
      </c>
      <c r="N71" s="848">
        <v>45719</v>
      </c>
      <c r="O71" s="849"/>
      <c r="P71" s="850" t="s">
        <v>46</v>
      </c>
      <c r="Q71" s="838"/>
      <c r="R71" s="862">
        <v>45663</v>
      </c>
      <c r="S71" s="838" t="s">
        <v>58</v>
      </c>
      <c r="T71" s="863" t="s">
        <v>1408</v>
      </c>
      <c r="U71" s="864" t="s">
        <v>1409</v>
      </c>
      <c r="V71" s="848" t="s">
        <v>214</v>
      </c>
      <c r="W71" s="865">
        <v>1.8868</v>
      </c>
      <c r="X71" s="866">
        <f>I71*W71</f>
        <v>3924.544</v>
      </c>
      <c r="Y71" s="838" t="s">
        <v>1410</v>
      </c>
      <c r="Z71" s="838" t="s">
        <v>1139</v>
      </c>
      <c r="AA71" s="838" t="s">
        <v>53</v>
      </c>
      <c r="AB71" s="873" t="s">
        <v>54</v>
      </c>
      <c r="AC71" s="838"/>
      <c r="AD71" s="874">
        <f>2028+52</f>
        <v>2080</v>
      </c>
      <c r="AE71" s="874">
        <f t="shared" si="17"/>
        <v>0</v>
      </c>
      <c r="AF71" s="875"/>
      <c r="AG71" s="838" t="s">
        <v>55</v>
      </c>
      <c r="AH71" s="838"/>
      <c r="AI71" s="838">
        <f t="shared" si="32"/>
        <v>2080</v>
      </c>
      <c r="AJ71" s="838"/>
      <c r="AK71" s="838">
        <f t="shared" si="34"/>
        <v>2080</v>
      </c>
      <c r="AN71" s="838"/>
      <c r="AO71" s="838"/>
      <c r="AQ71" s="838">
        <f>I71</f>
        <v>2080</v>
      </c>
      <c r="AR71" s="838"/>
      <c r="AS71" s="838"/>
      <c r="AT71" s="838"/>
      <c r="BA71" s="803">
        <f>I71/13</f>
        <v>160</v>
      </c>
      <c r="BS71" s="888">
        <f t="shared" si="39"/>
        <v>2080</v>
      </c>
      <c r="BT71" s="889">
        <f t="shared" si="40"/>
        <v>2383188</v>
      </c>
      <c r="BU71" s="892"/>
      <c r="BV71" s="892"/>
      <c r="BW71" s="892"/>
      <c r="BX71" s="892"/>
      <c r="BY71" s="891">
        <f t="shared" si="37"/>
        <v>436812</v>
      </c>
      <c r="CA71" s="805">
        <f t="shared" si="41"/>
        <v>0</v>
      </c>
      <c r="CB71" s="888">
        <f t="shared" si="42"/>
        <v>48370.5714285714</v>
      </c>
      <c r="CC71" s="892"/>
      <c r="CD71" s="892"/>
      <c r="CE71" s="892"/>
      <c r="CF71" s="888">
        <f t="shared" si="38"/>
        <v>11629.4285714286</v>
      </c>
      <c r="CG71" s="892"/>
    </row>
    <row r="72" s="803" customFormat="1" ht="31" customHeight="1" spans="1:85">
      <c r="A72" s="834">
        <v>45651</v>
      </c>
      <c r="B72" s="835" t="s">
        <v>1364</v>
      </c>
      <c r="C72" s="839" t="s">
        <v>41</v>
      </c>
      <c r="D72" s="837">
        <v>4500154604</v>
      </c>
      <c r="E72" s="835">
        <v>61900884</v>
      </c>
      <c r="F72" s="837" t="s">
        <v>1411</v>
      </c>
      <c r="G72" s="838" t="s">
        <v>1155</v>
      </c>
      <c r="H72" s="838" t="s">
        <v>1140</v>
      </c>
      <c r="I72" s="838">
        <v>1350</v>
      </c>
      <c r="J72" s="838">
        <v>0</v>
      </c>
      <c r="K72" s="838">
        <v>50</v>
      </c>
      <c r="L72" s="847">
        <f t="shared" si="9"/>
        <v>27</v>
      </c>
      <c r="M72" s="848">
        <v>45721</v>
      </c>
      <c r="N72" s="848">
        <v>45717</v>
      </c>
      <c r="O72" s="849"/>
      <c r="P72" s="850" t="s">
        <v>46</v>
      </c>
      <c r="Q72" s="838"/>
      <c r="R72" s="862">
        <v>45695</v>
      </c>
      <c r="S72" s="838" t="s">
        <v>58</v>
      </c>
      <c r="T72" s="863" t="s">
        <v>1412</v>
      </c>
      <c r="U72" s="864" t="s">
        <v>1413</v>
      </c>
      <c r="V72" s="848" t="s">
        <v>653</v>
      </c>
      <c r="W72" s="865">
        <v>2.0019</v>
      </c>
      <c r="X72" s="866">
        <f>I72*W72</f>
        <v>2702.565</v>
      </c>
      <c r="Y72" s="838" t="s">
        <v>1414</v>
      </c>
      <c r="Z72" s="838" t="s">
        <v>1160</v>
      </c>
      <c r="AA72" s="838" t="s">
        <v>53</v>
      </c>
      <c r="AB72" s="873" t="s">
        <v>54</v>
      </c>
      <c r="AC72" s="838"/>
      <c r="AD72" s="874">
        <v>1350</v>
      </c>
      <c r="AE72" s="874">
        <f t="shared" si="17"/>
        <v>0</v>
      </c>
      <c r="AF72" s="875"/>
      <c r="AG72" s="838" t="s">
        <v>55</v>
      </c>
      <c r="AH72" s="838"/>
      <c r="AI72" s="838">
        <f t="shared" si="32"/>
        <v>1350</v>
      </c>
      <c r="AJ72" s="838"/>
      <c r="AK72" s="838"/>
      <c r="AN72" s="838">
        <f>I72</f>
        <v>1350</v>
      </c>
      <c r="AO72" s="838"/>
      <c r="AQ72" s="838">
        <f>I72</f>
        <v>1350</v>
      </c>
      <c r="AR72" s="838"/>
      <c r="AS72" s="838"/>
      <c r="AT72" s="838"/>
      <c r="BD72" s="803">
        <f>I72/25</f>
        <v>54</v>
      </c>
      <c r="BS72" s="888">
        <f t="shared" si="39"/>
        <v>1350</v>
      </c>
      <c r="BT72" s="889">
        <f t="shared" si="40"/>
        <v>2384538</v>
      </c>
      <c r="BU72" s="892"/>
      <c r="BV72" s="892"/>
      <c r="BW72" s="892"/>
      <c r="BX72" s="892"/>
      <c r="BY72" s="891">
        <f t="shared" si="37"/>
        <v>435462</v>
      </c>
      <c r="CA72" s="805">
        <f t="shared" si="41"/>
        <v>54</v>
      </c>
      <c r="CB72" s="888">
        <f t="shared" si="42"/>
        <v>48424.5714285714</v>
      </c>
      <c r="CC72" s="892"/>
      <c r="CD72" s="892"/>
      <c r="CE72" s="892"/>
      <c r="CF72" s="888">
        <f t="shared" si="38"/>
        <v>11575.4285714286</v>
      </c>
      <c r="CG72" s="892"/>
    </row>
    <row r="73" s="803" customFormat="1" ht="31" hidden="1" customHeight="1" spans="1:85">
      <c r="A73" s="834">
        <v>45672</v>
      </c>
      <c r="B73" s="835" t="s">
        <v>1415</v>
      </c>
      <c r="C73" s="839" t="s">
        <v>1374</v>
      </c>
      <c r="D73" s="837">
        <v>4500155828</v>
      </c>
      <c r="E73" s="835"/>
      <c r="F73" s="837" t="s">
        <v>1416</v>
      </c>
      <c r="G73" s="838" t="s">
        <v>1417</v>
      </c>
      <c r="H73" s="894" t="s">
        <v>1418</v>
      </c>
      <c r="I73" s="838">
        <v>360</v>
      </c>
      <c r="J73" s="838">
        <v>0</v>
      </c>
      <c r="K73" s="838">
        <v>30</v>
      </c>
      <c r="L73" s="847">
        <f t="shared" ref="L73:L136" si="43">I73/K73</f>
        <v>12</v>
      </c>
      <c r="M73" s="848">
        <v>45723</v>
      </c>
      <c r="N73" s="848">
        <v>45719</v>
      </c>
      <c r="O73" s="849"/>
      <c r="P73" s="850" t="s">
        <v>46</v>
      </c>
      <c r="Q73" s="838"/>
      <c r="R73" s="862">
        <v>45672</v>
      </c>
      <c r="S73" s="838" t="s">
        <v>58</v>
      </c>
      <c r="T73" s="863" t="s">
        <v>58</v>
      </c>
      <c r="U73" s="864" t="s">
        <v>1419</v>
      </c>
      <c r="V73" s="848" t="s">
        <v>183</v>
      </c>
      <c r="W73" s="865">
        <v>73.6896</v>
      </c>
      <c r="X73" s="866">
        <f>W73*L73</f>
        <v>884.2752</v>
      </c>
      <c r="Y73" s="838" t="s">
        <v>1420</v>
      </c>
      <c r="Z73" s="838" t="s">
        <v>1417</v>
      </c>
      <c r="AA73" s="838" t="s">
        <v>53</v>
      </c>
      <c r="AB73" s="873" t="s">
        <v>54</v>
      </c>
      <c r="AC73" s="838"/>
      <c r="AD73" s="874">
        <v>360</v>
      </c>
      <c r="AE73" s="874">
        <f t="shared" si="17"/>
        <v>0</v>
      </c>
      <c r="AF73" s="875"/>
      <c r="AG73" s="838" t="s">
        <v>58</v>
      </c>
      <c r="AH73" s="838"/>
      <c r="AI73" s="838">
        <f t="shared" ref="AI66:AI96" si="44">I73</f>
        <v>360</v>
      </c>
      <c r="AJ73" s="838"/>
      <c r="AK73" s="838">
        <f>I73</f>
        <v>360</v>
      </c>
      <c r="AN73" s="838"/>
      <c r="AO73" s="838"/>
      <c r="AQ73" s="838">
        <f>I73</f>
        <v>360</v>
      </c>
      <c r="AR73" s="838"/>
      <c r="AS73" s="838"/>
      <c r="AT73" s="838"/>
      <c r="BH73" s="803">
        <f>I73/30</f>
        <v>12</v>
      </c>
      <c r="BS73" s="888">
        <f t="shared" si="39"/>
        <v>360</v>
      </c>
      <c r="BT73" s="889">
        <f t="shared" si="40"/>
        <v>2384898</v>
      </c>
      <c r="BU73" s="892"/>
      <c r="BV73" s="892"/>
      <c r="BW73" s="892"/>
      <c r="BX73" s="892"/>
      <c r="BY73" s="891">
        <f t="shared" si="37"/>
        <v>435102</v>
      </c>
      <c r="CA73" s="805">
        <f t="shared" si="41"/>
        <v>0</v>
      </c>
      <c r="CB73" s="888">
        <f t="shared" si="42"/>
        <v>48424.5714285714</v>
      </c>
      <c r="CC73" s="892"/>
      <c r="CD73" s="892"/>
      <c r="CE73" s="892"/>
      <c r="CF73" s="888">
        <f t="shared" si="38"/>
        <v>11575.4285714286</v>
      </c>
      <c r="CG73" s="892"/>
    </row>
    <row r="74" s="803" customFormat="1" ht="31" customHeight="1" spans="1:85">
      <c r="A74" s="834">
        <v>45630</v>
      </c>
      <c r="B74" s="835" t="s">
        <v>1421</v>
      </c>
      <c r="C74" s="839" t="s">
        <v>41</v>
      </c>
      <c r="D74" s="837">
        <v>4500153293</v>
      </c>
      <c r="E74" s="835"/>
      <c r="F74" s="837" t="s">
        <v>1422</v>
      </c>
      <c r="G74" s="838" t="s">
        <v>1155</v>
      </c>
      <c r="H74" s="838" t="s">
        <v>1140</v>
      </c>
      <c r="I74" s="838">
        <v>1600</v>
      </c>
      <c r="J74" s="838">
        <v>0</v>
      </c>
      <c r="K74" s="838">
        <v>50</v>
      </c>
      <c r="L74" s="847">
        <f t="shared" si="43"/>
        <v>32</v>
      </c>
      <c r="M74" s="848">
        <v>45723</v>
      </c>
      <c r="N74" s="848">
        <v>45719</v>
      </c>
      <c r="O74" s="849"/>
      <c r="P74" s="850" t="s">
        <v>46</v>
      </c>
      <c r="Q74" s="838"/>
      <c r="R74" s="862">
        <v>45651</v>
      </c>
      <c r="S74" s="838" t="s">
        <v>58</v>
      </c>
      <c r="T74" s="863">
        <v>45678</v>
      </c>
      <c r="U74" s="864" t="s">
        <v>1423</v>
      </c>
      <c r="V74" s="848" t="s">
        <v>51</v>
      </c>
      <c r="W74" s="865">
        <v>1.9849</v>
      </c>
      <c r="X74" s="866">
        <f>W74*I74</f>
        <v>3175.84</v>
      </c>
      <c r="Y74" s="838" t="s">
        <v>1424</v>
      </c>
      <c r="Z74" s="838" t="s">
        <v>1160</v>
      </c>
      <c r="AA74" s="838" t="s">
        <v>53</v>
      </c>
      <c r="AB74" s="873" t="s">
        <v>54</v>
      </c>
      <c r="AC74" s="838"/>
      <c r="AD74" s="874">
        <f>1550+50</f>
        <v>1600</v>
      </c>
      <c r="AE74" s="874">
        <f t="shared" si="17"/>
        <v>0</v>
      </c>
      <c r="AF74" s="875"/>
      <c r="AG74" s="838" t="s">
        <v>55</v>
      </c>
      <c r="AH74" s="838"/>
      <c r="AI74" s="838">
        <f t="shared" si="44"/>
        <v>1600</v>
      </c>
      <c r="AJ74" s="838"/>
      <c r="AK74" s="838"/>
      <c r="AN74" s="838">
        <f>I74</f>
        <v>1600</v>
      </c>
      <c r="AO74" s="838"/>
      <c r="AQ74" s="838">
        <f>I74</f>
        <v>1600</v>
      </c>
      <c r="AR74" s="838"/>
      <c r="AS74" s="838"/>
      <c r="AT74" s="838"/>
      <c r="BD74" s="803">
        <f>I74/25</f>
        <v>64</v>
      </c>
      <c r="BS74" s="888">
        <f t="shared" si="39"/>
        <v>1600</v>
      </c>
      <c r="BT74" s="889">
        <f t="shared" si="40"/>
        <v>2386498</v>
      </c>
      <c r="BU74" s="892"/>
      <c r="BV74" s="892"/>
      <c r="BW74" s="892"/>
      <c r="BX74" s="892"/>
      <c r="BY74" s="891">
        <f t="shared" si="37"/>
        <v>433502</v>
      </c>
      <c r="CA74" s="805">
        <f t="shared" si="41"/>
        <v>64</v>
      </c>
      <c r="CB74" s="888">
        <f t="shared" si="42"/>
        <v>48488.5714285714</v>
      </c>
      <c r="CC74" s="892"/>
      <c r="CD74" s="892"/>
      <c r="CE74" s="892"/>
      <c r="CF74" s="888">
        <f t="shared" si="38"/>
        <v>11511.4285714286</v>
      </c>
      <c r="CG74" s="892"/>
    </row>
    <row r="75" s="803" customFormat="1" ht="31" hidden="1" customHeight="1" spans="1:85">
      <c r="A75" s="834">
        <v>45694</v>
      </c>
      <c r="B75" s="835" t="s">
        <v>1186</v>
      </c>
      <c r="C75" s="839" t="s">
        <v>84</v>
      </c>
      <c r="D75" s="837">
        <v>4500156777</v>
      </c>
      <c r="E75" s="835">
        <v>893502858</v>
      </c>
      <c r="F75" s="837" t="s">
        <v>1425</v>
      </c>
      <c r="G75" s="838" t="s">
        <v>1189</v>
      </c>
      <c r="H75" s="838" t="s">
        <v>1140</v>
      </c>
      <c r="I75" s="838">
        <v>1152</v>
      </c>
      <c r="J75" s="838">
        <v>0</v>
      </c>
      <c r="K75" s="838">
        <v>1152</v>
      </c>
      <c r="L75" s="847">
        <f t="shared" si="43"/>
        <v>1</v>
      </c>
      <c r="M75" s="848">
        <v>45723</v>
      </c>
      <c r="N75" s="848">
        <v>45719</v>
      </c>
      <c r="O75" s="849"/>
      <c r="P75" s="850" t="s">
        <v>46</v>
      </c>
      <c r="Q75" s="838"/>
      <c r="R75" s="862" t="s">
        <v>968</v>
      </c>
      <c r="S75" s="838" t="s">
        <v>58</v>
      </c>
      <c r="T75" s="863" t="s">
        <v>1330</v>
      </c>
      <c r="U75" s="864" t="s">
        <v>1239</v>
      </c>
      <c r="V75" s="848" t="s">
        <v>207</v>
      </c>
      <c r="W75" s="865">
        <v>2211.8489</v>
      </c>
      <c r="X75" s="866">
        <f>W75*L75</f>
        <v>2211.8489</v>
      </c>
      <c r="Y75" s="838" t="s">
        <v>1426</v>
      </c>
      <c r="Z75" s="838" t="s">
        <v>1189</v>
      </c>
      <c r="AA75" s="838" t="s">
        <v>53</v>
      </c>
      <c r="AB75" s="873" t="s">
        <v>54</v>
      </c>
      <c r="AC75" s="838"/>
      <c r="AD75" s="874">
        <f>1140+12</f>
        <v>1152</v>
      </c>
      <c r="AE75" s="874">
        <f t="shared" si="17"/>
        <v>0</v>
      </c>
      <c r="AF75" s="875"/>
      <c r="AG75" s="838"/>
      <c r="AH75" s="838"/>
      <c r="AI75" s="838">
        <f t="shared" si="44"/>
        <v>1152</v>
      </c>
      <c r="AJ75" s="838"/>
      <c r="AK75" s="838">
        <f>I75</f>
        <v>1152</v>
      </c>
      <c r="AN75" s="838"/>
      <c r="AO75" s="838"/>
      <c r="AQ75" s="838"/>
      <c r="AR75" s="838"/>
      <c r="AS75" s="838">
        <f>I75</f>
        <v>1152</v>
      </c>
      <c r="AT75" s="838"/>
      <c r="AX75" s="803">
        <f>I75/12</f>
        <v>96</v>
      </c>
      <c r="BS75" s="888">
        <f t="shared" si="39"/>
        <v>1152</v>
      </c>
      <c r="BT75" s="889">
        <f t="shared" si="40"/>
        <v>2387650</v>
      </c>
      <c r="BU75" s="892"/>
      <c r="BV75" s="892"/>
      <c r="BW75" s="892"/>
      <c r="BX75" s="892"/>
      <c r="BY75" s="891">
        <f t="shared" si="37"/>
        <v>432350</v>
      </c>
      <c r="CA75" s="805">
        <f t="shared" si="41"/>
        <v>0</v>
      </c>
      <c r="CB75" s="888">
        <f t="shared" si="42"/>
        <v>48488.5714285714</v>
      </c>
      <c r="CC75" s="892"/>
      <c r="CD75" s="892"/>
      <c r="CE75" s="892"/>
      <c r="CF75" s="888">
        <f t="shared" si="38"/>
        <v>11511.4285714286</v>
      </c>
      <c r="CG75" s="892"/>
    </row>
    <row r="76" s="803" customFormat="1" ht="31" customHeight="1" spans="1:85">
      <c r="A76" s="834">
        <v>45678</v>
      </c>
      <c r="B76" s="835" t="s">
        <v>775</v>
      </c>
      <c r="C76" s="839" t="s">
        <v>41</v>
      </c>
      <c r="D76" s="837">
        <v>4500156374</v>
      </c>
      <c r="E76" s="835"/>
      <c r="F76" s="837" t="s">
        <v>1427</v>
      </c>
      <c r="G76" s="838" t="s">
        <v>1155</v>
      </c>
      <c r="H76" s="838" t="s">
        <v>1140</v>
      </c>
      <c r="I76" s="838">
        <v>2500</v>
      </c>
      <c r="J76" s="838">
        <v>0</v>
      </c>
      <c r="K76" s="838">
        <v>50</v>
      </c>
      <c r="L76" s="847">
        <f t="shared" si="43"/>
        <v>50</v>
      </c>
      <c r="M76" s="848">
        <v>45726</v>
      </c>
      <c r="N76" s="848">
        <v>45729</v>
      </c>
      <c r="O76" s="849" t="s">
        <v>1428</v>
      </c>
      <c r="P76" s="850" t="s">
        <v>46</v>
      </c>
      <c r="Q76" s="838"/>
      <c r="R76" s="862">
        <v>45678</v>
      </c>
      <c r="S76" s="838" t="s">
        <v>48</v>
      </c>
      <c r="T76" s="863">
        <v>45713</v>
      </c>
      <c r="U76" s="864" t="s">
        <v>1429</v>
      </c>
      <c r="V76" s="848" t="s">
        <v>653</v>
      </c>
      <c r="W76" s="865">
        <v>2.0019</v>
      </c>
      <c r="X76" s="866">
        <f>W76*I76</f>
        <v>5004.75</v>
      </c>
      <c r="Y76" s="838" t="s">
        <v>1430</v>
      </c>
      <c r="Z76" s="838" t="s">
        <v>1160</v>
      </c>
      <c r="AA76" s="838" t="s">
        <v>53</v>
      </c>
      <c r="AB76" s="873" t="s">
        <v>54</v>
      </c>
      <c r="AC76" s="838"/>
      <c r="AD76" s="874">
        <v>2500</v>
      </c>
      <c r="AE76" s="874">
        <f t="shared" si="17"/>
        <v>0</v>
      </c>
      <c r="AF76" s="875"/>
      <c r="AG76" s="838" t="s">
        <v>55</v>
      </c>
      <c r="AH76" s="838"/>
      <c r="AI76" s="838">
        <f t="shared" si="44"/>
        <v>2500</v>
      </c>
      <c r="AJ76" s="838"/>
      <c r="AK76" s="838"/>
      <c r="AN76" s="838">
        <f>I76</f>
        <v>2500</v>
      </c>
      <c r="AO76" s="838"/>
      <c r="AQ76" s="838">
        <f>I76</f>
        <v>2500</v>
      </c>
      <c r="AR76" s="838"/>
      <c r="AS76" s="838"/>
      <c r="AT76" s="838"/>
      <c r="BD76" s="803">
        <f>I76/25</f>
        <v>100</v>
      </c>
      <c r="BS76" s="888">
        <f t="shared" si="39"/>
        <v>2500</v>
      </c>
      <c r="BT76" s="889">
        <f t="shared" si="40"/>
        <v>2390150</v>
      </c>
      <c r="BU76" s="892"/>
      <c r="BV76" s="892"/>
      <c r="BW76" s="892"/>
      <c r="BX76" s="892"/>
      <c r="BY76" s="891">
        <f t="shared" si="37"/>
        <v>429850</v>
      </c>
      <c r="CA76" s="805">
        <f t="shared" si="41"/>
        <v>100</v>
      </c>
      <c r="CB76" s="888">
        <f t="shared" si="42"/>
        <v>48588.5714285714</v>
      </c>
      <c r="CC76" s="892"/>
      <c r="CD76" s="892"/>
      <c r="CE76" s="892"/>
      <c r="CF76" s="888">
        <f t="shared" si="38"/>
        <v>11411.4285714286</v>
      </c>
      <c r="CG76" s="892"/>
    </row>
    <row r="77" s="803" customFormat="1" ht="31" customHeight="1" spans="1:85">
      <c r="A77" s="834">
        <v>45651</v>
      </c>
      <c r="B77" s="835" t="s">
        <v>1364</v>
      </c>
      <c r="C77" s="839" t="s">
        <v>41</v>
      </c>
      <c r="D77" s="837">
        <v>4500154624</v>
      </c>
      <c r="E77" s="835">
        <v>61900885</v>
      </c>
      <c r="F77" s="837" t="s">
        <v>1431</v>
      </c>
      <c r="G77" s="838" t="s">
        <v>1155</v>
      </c>
      <c r="H77" s="838" t="s">
        <v>1140</v>
      </c>
      <c r="I77" s="838">
        <v>1300</v>
      </c>
      <c r="J77" s="838">
        <v>0</v>
      </c>
      <c r="K77" s="838">
        <v>50</v>
      </c>
      <c r="L77" s="847">
        <f t="shared" si="43"/>
        <v>26</v>
      </c>
      <c r="M77" s="848">
        <v>45730</v>
      </c>
      <c r="N77" s="848">
        <v>45726</v>
      </c>
      <c r="O77" s="849"/>
      <c r="P77" s="850" t="s">
        <v>46</v>
      </c>
      <c r="Q77" s="838"/>
      <c r="R77" s="862">
        <v>45698</v>
      </c>
      <c r="S77" s="838" t="s">
        <v>58</v>
      </c>
      <c r="T77" s="863" t="s">
        <v>1412</v>
      </c>
      <c r="U77" s="864" t="s">
        <v>1432</v>
      </c>
      <c r="V77" s="848" t="s">
        <v>653</v>
      </c>
      <c r="W77" s="865">
        <v>2.0019</v>
      </c>
      <c r="X77" s="866">
        <f>I77*W77</f>
        <v>2602.47</v>
      </c>
      <c r="Y77" s="838" t="s">
        <v>1433</v>
      </c>
      <c r="Z77" s="838" t="s">
        <v>1160</v>
      </c>
      <c r="AA77" s="838" t="s">
        <v>53</v>
      </c>
      <c r="AB77" s="873" t="s">
        <v>54</v>
      </c>
      <c r="AC77" s="838"/>
      <c r="AD77" s="874">
        <f>1250+50</f>
        <v>1300</v>
      </c>
      <c r="AE77" s="874">
        <f t="shared" ref="AE77:AE86" si="45">AD77-I77</f>
        <v>0</v>
      </c>
      <c r="AF77" s="875"/>
      <c r="AG77" s="838" t="s">
        <v>55</v>
      </c>
      <c r="AH77" s="838"/>
      <c r="AI77" s="838">
        <f t="shared" si="44"/>
        <v>1300</v>
      </c>
      <c r="AJ77" s="838"/>
      <c r="AK77" s="838"/>
      <c r="AN77" s="838">
        <f>I77</f>
        <v>1300</v>
      </c>
      <c r="AO77" s="838"/>
      <c r="AQ77" s="838">
        <f>I77</f>
        <v>1300</v>
      </c>
      <c r="AR77" s="838"/>
      <c r="AS77" s="838"/>
      <c r="AT77" s="838"/>
      <c r="BD77" s="803">
        <f>I77/25</f>
        <v>52</v>
      </c>
      <c r="BS77" s="888">
        <f t="shared" si="39"/>
        <v>1300</v>
      </c>
      <c r="BT77" s="889">
        <f t="shared" si="40"/>
        <v>2391450</v>
      </c>
      <c r="BU77" s="892"/>
      <c r="BV77" s="892"/>
      <c r="BW77" s="892"/>
      <c r="BX77" s="892"/>
      <c r="BY77" s="891">
        <f t="shared" si="37"/>
        <v>428550</v>
      </c>
      <c r="CA77" s="805">
        <f t="shared" si="41"/>
        <v>52</v>
      </c>
      <c r="CB77" s="888">
        <f t="shared" si="42"/>
        <v>48640.5714285714</v>
      </c>
      <c r="CC77" s="892"/>
      <c r="CD77" s="892"/>
      <c r="CE77" s="892"/>
      <c r="CF77" s="888">
        <f t="shared" si="38"/>
        <v>11359.4285714286</v>
      </c>
      <c r="CG77" s="892"/>
    </row>
    <row r="78" s="803" customFormat="1" ht="31" hidden="1" customHeight="1" spans="1:85">
      <c r="A78" s="834">
        <v>45679</v>
      </c>
      <c r="B78" s="835" t="s">
        <v>1186</v>
      </c>
      <c r="C78" s="839" t="s">
        <v>84</v>
      </c>
      <c r="D78" s="837">
        <v>4500156438</v>
      </c>
      <c r="E78" s="835" t="s">
        <v>1434</v>
      </c>
      <c r="F78" s="837" t="s">
        <v>1435</v>
      </c>
      <c r="G78" s="838" t="s">
        <v>1189</v>
      </c>
      <c r="H78" s="838" t="s">
        <v>1140</v>
      </c>
      <c r="I78" s="838">
        <v>1152</v>
      </c>
      <c r="J78" s="838">
        <v>0</v>
      </c>
      <c r="K78" s="838">
        <v>1152</v>
      </c>
      <c r="L78" s="847">
        <f t="shared" si="43"/>
        <v>1</v>
      </c>
      <c r="M78" s="848">
        <v>45733</v>
      </c>
      <c r="N78" s="848">
        <v>45729</v>
      </c>
      <c r="O78" s="849"/>
      <c r="P78" s="850" t="s">
        <v>46</v>
      </c>
      <c r="Q78" s="838"/>
      <c r="R78" s="862" t="s">
        <v>968</v>
      </c>
      <c r="S78" s="838" t="s">
        <v>58</v>
      </c>
      <c r="T78" s="863" t="s">
        <v>1330</v>
      </c>
      <c r="U78" s="864" t="s">
        <v>1239</v>
      </c>
      <c r="V78" s="848" t="s">
        <v>207</v>
      </c>
      <c r="W78" s="865">
        <v>2220.2067</v>
      </c>
      <c r="X78" s="866">
        <f t="shared" ref="X78:X84" si="46">W78*L78</f>
        <v>2220.2067</v>
      </c>
      <c r="Y78" s="838" t="s">
        <v>1436</v>
      </c>
      <c r="Z78" s="838" t="s">
        <v>1189</v>
      </c>
      <c r="AA78" s="838" t="s">
        <v>53</v>
      </c>
      <c r="AB78" s="873" t="s">
        <v>54</v>
      </c>
      <c r="AC78" s="838"/>
      <c r="AD78" s="874">
        <v>1152</v>
      </c>
      <c r="AE78" s="874">
        <f t="shared" si="45"/>
        <v>0</v>
      </c>
      <c r="AF78" s="875"/>
      <c r="AG78" s="838"/>
      <c r="AH78" s="838"/>
      <c r="AI78" s="838">
        <f t="shared" si="44"/>
        <v>1152</v>
      </c>
      <c r="AJ78" s="838"/>
      <c r="AK78" s="838">
        <f t="shared" ref="AK78:AK84" si="47">I78</f>
        <v>1152</v>
      </c>
      <c r="AN78" s="838"/>
      <c r="AO78" s="838"/>
      <c r="AQ78" s="838"/>
      <c r="AR78" s="838"/>
      <c r="AS78" s="838">
        <f t="shared" ref="AS78:AS84" si="48">I78</f>
        <v>1152</v>
      </c>
      <c r="AT78" s="838"/>
      <c r="AX78" s="803">
        <f t="shared" ref="AX78:AX84" si="49">I78/12</f>
        <v>96</v>
      </c>
      <c r="BS78" s="888">
        <f t="shared" si="39"/>
        <v>1152</v>
      </c>
      <c r="BT78" s="889">
        <f t="shared" si="40"/>
        <v>2392602</v>
      </c>
      <c r="BU78" s="892"/>
      <c r="BV78" s="892"/>
      <c r="BW78" s="892"/>
      <c r="BX78" s="892"/>
      <c r="BY78" s="891">
        <f t="shared" si="37"/>
        <v>427398</v>
      </c>
      <c r="CA78" s="805">
        <f t="shared" si="41"/>
        <v>0</v>
      </c>
      <c r="CB78" s="888">
        <f t="shared" si="42"/>
        <v>48640.5714285714</v>
      </c>
      <c r="CC78" s="892"/>
      <c r="CD78" s="892"/>
      <c r="CE78" s="892"/>
      <c r="CF78" s="888">
        <f t="shared" si="38"/>
        <v>11359.4285714286</v>
      </c>
      <c r="CG78" s="892"/>
    </row>
    <row r="79" s="803" customFormat="1" ht="31" hidden="1" customHeight="1" spans="1:85">
      <c r="A79" s="834">
        <v>45679</v>
      </c>
      <c r="B79" s="835" t="s">
        <v>1186</v>
      </c>
      <c r="C79" s="839" t="s">
        <v>84</v>
      </c>
      <c r="D79" s="837">
        <v>4500156438</v>
      </c>
      <c r="E79" s="835" t="s">
        <v>1437</v>
      </c>
      <c r="F79" s="837" t="s">
        <v>1438</v>
      </c>
      <c r="G79" s="838" t="s">
        <v>1189</v>
      </c>
      <c r="H79" s="838" t="s">
        <v>1140</v>
      </c>
      <c r="I79" s="838">
        <v>1152</v>
      </c>
      <c r="J79" s="838">
        <v>0</v>
      </c>
      <c r="K79" s="838">
        <v>1152</v>
      </c>
      <c r="L79" s="847">
        <f t="shared" si="43"/>
        <v>1</v>
      </c>
      <c r="M79" s="848">
        <v>45733</v>
      </c>
      <c r="N79" s="848">
        <v>45729</v>
      </c>
      <c r="O79" s="849"/>
      <c r="P79" s="850" t="s">
        <v>46</v>
      </c>
      <c r="Q79" s="838"/>
      <c r="R79" s="862" t="s">
        <v>968</v>
      </c>
      <c r="S79" s="838" t="s">
        <v>58</v>
      </c>
      <c r="T79" s="863" t="s">
        <v>1330</v>
      </c>
      <c r="U79" s="864" t="s">
        <v>1239</v>
      </c>
      <c r="V79" s="848" t="s">
        <v>207</v>
      </c>
      <c r="W79" s="865">
        <v>2220.2067</v>
      </c>
      <c r="X79" s="866">
        <f t="shared" si="46"/>
        <v>2220.2067</v>
      </c>
      <c r="Y79" s="838" t="s">
        <v>1439</v>
      </c>
      <c r="Z79" s="838" t="s">
        <v>1189</v>
      </c>
      <c r="AA79" s="838" t="s">
        <v>53</v>
      </c>
      <c r="AB79" s="873" t="s">
        <v>54</v>
      </c>
      <c r="AC79" s="838"/>
      <c r="AD79" s="874">
        <v>1152</v>
      </c>
      <c r="AE79" s="874">
        <f t="shared" si="45"/>
        <v>0</v>
      </c>
      <c r="AF79" s="875"/>
      <c r="AG79" s="838"/>
      <c r="AH79" s="838"/>
      <c r="AI79" s="838">
        <f t="shared" si="44"/>
        <v>1152</v>
      </c>
      <c r="AJ79" s="838"/>
      <c r="AK79" s="838">
        <f t="shared" si="47"/>
        <v>1152</v>
      </c>
      <c r="AN79" s="838"/>
      <c r="AO79" s="838"/>
      <c r="AQ79" s="838"/>
      <c r="AR79" s="838"/>
      <c r="AS79" s="838">
        <f t="shared" si="48"/>
        <v>1152</v>
      </c>
      <c r="AT79" s="838"/>
      <c r="AX79" s="803">
        <f t="shared" si="49"/>
        <v>96</v>
      </c>
      <c r="BS79" s="888">
        <f t="shared" si="39"/>
        <v>1152</v>
      </c>
      <c r="BT79" s="889">
        <f t="shared" si="40"/>
        <v>2393754</v>
      </c>
      <c r="BU79" s="892"/>
      <c r="BV79" s="892"/>
      <c r="BW79" s="892"/>
      <c r="BX79" s="892"/>
      <c r="BY79" s="891">
        <f t="shared" si="37"/>
        <v>426246</v>
      </c>
      <c r="CA79" s="805">
        <f t="shared" si="41"/>
        <v>0</v>
      </c>
      <c r="CB79" s="888">
        <f t="shared" si="42"/>
        <v>48640.5714285714</v>
      </c>
      <c r="CC79" s="892"/>
      <c r="CD79" s="892"/>
      <c r="CE79" s="892"/>
      <c r="CF79" s="888">
        <f t="shared" si="38"/>
        <v>11359.4285714286</v>
      </c>
      <c r="CG79" s="892"/>
    </row>
    <row r="80" s="803" customFormat="1" ht="31" hidden="1" customHeight="1" spans="1:85">
      <c r="A80" s="834">
        <v>45679</v>
      </c>
      <c r="B80" s="835" t="s">
        <v>1186</v>
      </c>
      <c r="C80" s="839" t="s">
        <v>84</v>
      </c>
      <c r="D80" s="837">
        <v>4500156438</v>
      </c>
      <c r="E80" s="835" t="s">
        <v>1440</v>
      </c>
      <c r="F80" s="837" t="s">
        <v>1441</v>
      </c>
      <c r="G80" s="838" t="s">
        <v>1189</v>
      </c>
      <c r="H80" s="838" t="s">
        <v>1140</v>
      </c>
      <c r="I80" s="838">
        <v>3456</v>
      </c>
      <c r="J80" s="838">
        <v>0</v>
      </c>
      <c r="K80" s="838">
        <v>1152</v>
      </c>
      <c r="L80" s="847">
        <f t="shared" si="43"/>
        <v>3</v>
      </c>
      <c r="M80" s="848">
        <v>45733</v>
      </c>
      <c r="N80" s="848">
        <v>45729</v>
      </c>
      <c r="O80" s="849"/>
      <c r="P80" s="850" t="s">
        <v>46</v>
      </c>
      <c r="Q80" s="838"/>
      <c r="R80" s="862" t="s">
        <v>968</v>
      </c>
      <c r="S80" s="838" t="s">
        <v>58</v>
      </c>
      <c r="T80" s="863" t="s">
        <v>1330</v>
      </c>
      <c r="U80" s="864" t="s">
        <v>1239</v>
      </c>
      <c r="V80" s="848" t="s">
        <v>207</v>
      </c>
      <c r="W80" s="865">
        <v>2220.2067</v>
      </c>
      <c r="X80" s="866">
        <f t="shared" si="46"/>
        <v>6660.6201</v>
      </c>
      <c r="Y80" s="838" t="s">
        <v>1442</v>
      </c>
      <c r="Z80" s="838" t="s">
        <v>1189</v>
      </c>
      <c r="AA80" s="838" t="s">
        <v>53</v>
      </c>
      <c r="AB80" s="873" t="s">
        <v>54</v>
      </c>
      <c r="AC80" s="838"/>
      <c r="AD80" s="874">
        <v>3456</v>
      </c>
      <c r="AE80" s="874">
        <f t="shared" si="45"/>
        <v>0</v>
      </c>
      <c r="AF80" s="875"/>
      <c r="AG80" s="838"/>
      <c r="AH80" s="838"/>
      <c r="AI80" s="838">
        <f t="shared" si="44"/>
        <v>3456</v>
      </c>
      <c r="AJ80" s="838"/>
      <c r="AK80" s="838">
        <f t="shared" si="47"/>
        <v>3456</v>
      </c>
      <c r="AN80" s="838"/>
      <c r="AO80" s="838"/>
      <c r="AQ80" s="838"/>
      <c r="AR80" s="838"/>
      <c r="AS80" s="838">
        <f t="shared" si="48"/>
        <v>3456</v>
      </c>
      <c r="AT80" s="838"/>
      <c r="AX80" s="803">
        <f t="shared" si="49"/>
        <v>288</v>
      </c>
      <c r="BS80" s="888">
        <f t="shared" si="39"/>
        <v>3456</v>
      </c>
      <c r="BT80" s="889">
        <f t="shared" si="40"/>
        <v>2397210</v>
      </c>
      <c r="BU80" s="892"/>
      <c r="BV80" s="892"/>
      <c r="BW80" s="892"/>
      <c r="BX80" s="892"/>
      <c r="BY80" s="891">
        <f t="shared" si="37"/>
        <v>422790</v>
      </c>
      <c r="CA80" s="805">
        <f t="shared" si="41"/>
        <v>0</v>
      </c>
      <c r="CB80" s="888">
        <f t="shared" si="42"/>
        <v>48640.5714285714</v>
      </c>
      <c r="CC80" s="892"/>
      <c r="CD80" s="892"/>
      <c r="CE80" s="892"/>
      <c r="CF80" s="888">
        <f t="shared" si="38"/>
        <v>11359.4285714286</v>
      </c>
      <c r="CG80" s="892"/>
    </row>
    <row r="81" s="803" customFormat="1" ht="31" hidden="1" customHeight="1" spans="1:85">
      <c r="A81" s="834">
        <v>45679</v>
      </c>
      <c r="B81" s="835" t="s">
        <v>1186</v>
      </c>
      <c r="C81" s="839" t="s">
        <v>84</v>
      </c>
      <c r="D81" s="837">
        <v>4500156438</v>
      </c>
      <c r="E81" s="835" t="s">
        <v>1443</v>
      </c>
      <c r="F81" s="837" t="s">
        <v>1444</v>
      </c>
      <c r="G81" s="838" t="s">
        <v>1189</v>
      </c>
      <c r="H81" s="838" t="s">
        <v>1140</v>
      </c>
      <c r="I81" s="838">
        <v>2304</v>
      </c>
      <c r="J81" s="838">
        <v>0</v>
      </c>
      <c r="K81" s="838">
        <v>1152</v>
      </c>
      <c r="L81" s="847">
        <f t="shared" si="43"/>
        <v>2</v>
      </c>
      <c r="M81" s="848">
        <v>45733</v>
      </c>
      <c r="N81" s="848">
        <v>45729</v>
      </c>
      <c r="O81" s="849"/>
      <c r="P81" s="850" t="s">
        <v>46</v>
      </c>
      <c r="Q81" s="838"/>
      <c r="R81" s="862" t="s">
        <v>968</v>
      </c>
      <c r="S81" s="838" t="s">
        <v>58</v>
      </c>
      <c r="T81" s="863" t="s">
        <v>1330</v>
      </c>
      <c r="U81" s="864" t="s">
        <v>1239</v>
      </c>
      <c r="V81" s="848" t="s">
        <v>207</v>
      </c>
      <c r="W81" s="865">
        <v>2220.2067</v>
      </c>
      <c r="X81" s="866">
        <f t="shared" si="46"/>
        <v>4440.4134</v>
      </c>
      <c r="Y81" s="838" t="s">
        <v>1439</v>
      </c>
      <c r="Z81" s="838" t="s">
        <v>1189</v>
      </c>
      <c r="AA81" s="838" t="s">
        <v>53</v>
      </c>
      <c r="AB81" s="873" t="s">
        <v>54</v>
      </c>
      <c r="AC81" s="838"/>
      <c r="AD81" s="874">
        <v>2304</v>
      </c>
      <c r="AE81" s="874">
        <f t="shared" si="45"/>
        <v>0</v>
      </c>
      <c r="AF81" s="875"/>
      <c r="AG81" s="838"/>
      <c r="AH81" s="838"/>
      <c r="AI81" s="838">
        <f t="shared" si="44"/>
        <v>2304</v>
      </c>
      <c r="AJ81" s="838"/>
      <c r="AK81" s="838">
        <f t="shared" si="47"/>
        <v>2304</v>
      </c>
      <c r="AN81" s="838"/>
      <c r="AO81" s="838"/>
      <c r="AQ81" s="838"/>
      <c r="AR81" s="838"/>
      <c r="AS81" s="838">
        <f t="shared" si="48"/>
        <v>2304</v>
      </c>
      <c r="AT81" s="838"/>
      <c r="AX81" s="803">
        <f t="shared" si="49"/>
        <v>192</v>
      </c>
      <c r="BS81" s="888">
        <f t="shared" si="39"/>
        <v>2304</v>
      </c>
      <c r="BT81" s="889">
        <f t="shared" si="40"/>
        <v>2399514</v>
      </c>
      <c r="BU81" s="892"/>
      <c r="BV81" s="892"/>
      <c r="BW81" s="892"/>
      <c r="BX81" s="892"/>
      <c r="BY81" s="891">
        <f t="shared" si="37"/>
        <v>420486</v>
      </c>
      <c r="CA81" s="805">
        <f t="shared" si="41"/>
        <v>0</v>
      </c>
      <c r="CB81" s="888">
        <f t="shared" si="42"/>
        <v>48640.5714285714</v>
      </c>
      <c r="CC81" s="892"/>
      <c r="CD81" s="892"/>
      <c r="CE81" s="892"/>
      <c r="CF81" s="888">
        <f t="shared" si="38"/>
        <v>11359.4285714286</v>
      </c>
      <c r="CG81" s="892"/>
    </row>
    <row r="82" s="803" customFormat="1" ht="31" hidden="1" customHeight="1" spans="1:85">
      <c r="A82" s="834">
        <v>45679</v>
      </c>
      <c r="B82" s="835" t="s">
        <v>1186</v>
      </c>
      <c r="C82" s="839" t="s">
        <v>84</v>
      </c>
      <c r="D82" s="837">
        <v>4500156438</v>
      </c>
      <c r="E82" s="835" t="s">
        <v>1445</v>
      </c>
      <c r="F82" s="837" t="s">
        <v>1446</v>
      </c>
      <c r="G82" s="838" t="s">
        <v>1189</v>
      </c>
      <c r="H82" s="838" t="s">
        <v>1140</v>
      </c>
      <c r="I82" s="838">
        <v>1152</v>
      </c>
      <c r="J82" s="838">
        <v>0</v>
      </c>
      <c r="K82" s="838">
        <v>1152</v>
      </c>
      <c r="L82" s="847">
        <f t="shared" si="43"/>
        <v>1</v>
      </c>
      <c r="M82" s="848">
        <v>45733</v>
      </c>
      <c r="N82" s="848">
        <v>45729</v>
      </c>
      <c r="O82" s="849"/>
      <c r="P82" s="850" t="s">
        <v>46</v>
      </c>
      <c r="Q82" s="838"/>
      <c r="R82" s="862" t="s">
        <v>968</v>
      </c>
      <c r="S82" s="838" t="s">
        <v>58</v>
      </c>
      <c r="T82" s="863" t="s">
        <v>1330</v>
      </c>
      <c r="U82" s="864" t="s">
        <v>1239</v>
      </c>
      <c r="V82" s="848" t="s">
        <v>207</v>
      </c>
      <c r="W82" s="865">
        <v>2220.2067</v>
      </c>
      <c r="X82" s="866">
        <f t="shared" si="46"/>
        <v>2220.2067</v>
      </c>
      <c r="Y82" s="838" t="s">
        <v>1447</v>
      </c>
      <c r="Z82" s="838" t="s">
        <v>1189</v>
      </c>
      <c r="AA82" s="838" t="s">
        <v>53</v>
      </c>
      <c r="AB82" s="873" t="s">
        <v>54</v>
      </c>
      <c r="AC82" s="838"/>
      <c r="AD82" s="874">
        <v>1152</v>
      </c>
      <c r="AE82" s="874">
        <f t="shared" si="45"/>
        <v>0</v>
      </c>
      <c r="AF82" s="875"/>
      <c r="AG82" s="838"/>
      <c r="AH82" s="838"/>
      <c r="AI82" s="838">
        <f t="shared" si="44"/>
        <v>1152</v>
      </c>
      <c r="AJ82" s="838"/>
      <c r="AK82" s="838">
        <f t="shared" si="47"/>
        <v>1152</v>
      </c>
      <c r="AN82" s="838"/>
      <c r="AO82" s="838"/>
      <c r="AQ82" s="838"/>
      <c r="AR82" s="838"/>
      <c r="AS82" s="838">
        <f t="shared" si="48"/>
        <v>1152</v>
      </c>
      <c r="AT82" s="838"/>
      <c r="AX82" s="803">
        <f t="shared" si="49"/>
        <v>96</v>
      </c>
      <c r="BS82" s="888">
        <f t="shared" si="39"/>
        <v>1152</v>
      </c>
      <c r="BT82" s="889">
        <f t="shared" si="40"/>
        <v>2400666</v>
      </c>
      <c r="BU82" s="892"/>
      <c r="BV82" s="892"/>
      <c r="BW82" s="892"/>
      <c r="BX82" s="892"/>
      <c r="BY82" s="891">
        <f t="shared" si="37"/>
        <v>419334</v>
      </c>
      <c r="CA82" s="805">
        <f t="shared" si="41"/>
        <v>0</v>
      </c>
      <c r="CB82" s="888">
        <f t="shared" si="42"/>
        <v>48640.5714285714</v>
      </c>
      <c r="CC82" s="892"/>
      <c r="CD82" s="892"/>
      <c r="CE82" s="892"/>
      <c r="CF82" s="888">
        <f t="shared" si="38"/>
        <v>11359.4285714286</v>
      </c>
      <c r="CG82" s="892"/>
    </row>
    <row r="83" s="803" customFormat="1" ht="31" hidden="1" customHeight="1" spans="1:85">
      <c r="A83" s="834">
        <v>45679</v>
      </c>
      <c r="B83" s="835" t="s">
        <v>1186</v>
      </c>
      <c r="C83" s="839" t="s">
        <v>84</v>
      </c>
      <c r="D83" s="837">
        <v>4500156438</v>
      </c>
      <c r="E83" s="835" t="s">
        <v>1448</v>
      </c>
      <c r="F83" s="837" t="s">
        <v>1449</v>
      </c>
      <c r="G83" s="838" t="s">
        <v>1189</v>
      </c>
      <c r="H83" s="838" t="s">
        <v>1140</v>
      </c>
      <c r="I83" s="838">
        <v>1152</v>
      </c>
      <c r="J83" s="838">
        <v>0</v>
      </c>
      <c r="K83" s="838">
        <v>1152</v>
      </c>
      <c r="L83" s="847">
        <f t="shared" si="43"/>
        <v>1</v>
      </c>
      <c r="M83" s="848">
        <v>45733</v>
      </c>
      <c r="N83" s="848">
        <v>45729</v>
      </c>
      <c r="O83" s="849"/>
      <c r="P83" s="850" t="s">
        <v>46</v>
      </c>
      <c r="Q83" s="838"/>
      <c r="R83" s="862" t="s">
        <v>968</v>
      </c>
      <c r="S83" s="838" t="s">
        <v>58</v>
      </c>
      <c r="T83" s="863" t="s">
        <v>1330</v>
      </c>
      <c r="U83" s="864" t="s">
        <v>1239</v>
      </c>
      <c r="V83" s="848" t="s">
        <v>207</v>
      </c>
      <c r="W83" s="865">
        <v>2220.2067</v>
      </c>
      <c r="X83" s="866">
        <f t="shared" si="46"/>
        <v>2220.2067</v>
      </c>
      <c r="Y83" s="838" t="s">
        <v>1450</v>
      </c>
      <c r="Z83" s="838" t="s">
        <v>1189</v>
      </c>
      <c r="AA83" s="838" t="s">
        <v>53</v>
      </c>
      <c r="AB83" s="873" t="s">
        <v>54</v>
      </c>
      <c r="AC83" s="838"/>
      <c r="AD83" s="874">
        <v>1152</v>
      </c>
      <c r="AE83" s="874">
        <f t="shared" si="45"/>
        <v>0</v>
      </c>
      <c r="AF83" s="875"/>
      <c r="AG83" s="838"/>
      <c r="AH83" s="838"/>
      <c r="AI83" s="838">
        <f t="shared" si="44"/>
        <v>1152</v>
      </c>
      <c r="AJ83" s="838"/>
      <c r="AK83" s="838">
        <f t="shared" si="47"/>
        <v>1152</v>
      </c>
      <c r="AN83" s="838"/>
      <c r="AO83" s="838"/>
      <c r="AQ83" s="838"/>
      <c r="AR83" s="838"/>
      <c r="AS83" s="838">
        <f t="shared" si="48"/>
        <v>1152</v>
      </c>
      <c r="AT83" s="838"/>
      <c r="AX83" s="803">
        <f t="shared" si="49"/>
        <v>96</v>
      </c>
      <c r="BS83" s="888">
        <f t="shared" si="39"/>
        <v>1152</v>
      </c>
      <c r="BT83" s="889">
        <f t="shared" si="40"/>
        <v>2401818</v>
      </c>
      <c r="BU83" s="892"/>
      <c r="BV83" s="892"/>
      <c r="BW83" s="892"/>
      <c r="BX83" s="892"/>
      <c r="BY83" s="891">
        <f t="shared" si="37"/>
        <v>418182</v>
      </c>
      <c r="CA83" s="805">
        <f t="shared" si="41"/>
        <v>0</v>
      </c>
      <c r="CB83" s="888">
        <f t="shared" si="42"/>
        <v>48640.5714285714</v>
      </c>
      <c r="CC83" s="892"/>
      <c r="CD83" s="892"/>
      <c r="CE83" s="892"/>
      <c r="CF83" s="888">
        <f t="shared" si="38"/>
        <v>11359.4285714286</v>
      </c>
      <c r="CG83" s="892"/>
    </row>
    <row r="84" s="803" customFormat="1" ht="31" hidden="1" customHeight="1" spans="1:85">
      <c r="A84" s="834">
        <v>45700</v>
      </c>
      <c r="B84" s="835" t="s">
        <v>1186</v>
      </c>
      <c r="C84" s="839" t="s">
        <v>84</v>
      </c>
      <c r="D84" s="837">
        <v>4500157306</v>
      </c>
      <c r="E84" s="1302" t="s">
        <v>1451</v>
      </c>
      <c r="F84" s="837" t="s">
        <v>1452</v>
      </c>
      <c r="G84" s="838" t="s">
        <v>1189</v>
      </c>
      <c r="H84" s="838" t="s">
        <v>1140</v>
      </c>
      <c r="I84" s="838">
        <v>1152</v>
      </c>
      <c r="J84" s="838">
        <v>0</v>
      </c>
      <c r="K84" s="838">
        <v>1152</v>
      </c>
      <c r="L84" s="847">
        <f t="shared" si="43"/>
        <v>1</v>
      </c>
      <c r="M84" s="848">
        <v>45733</v>
      </c>
      <c r="N84" s="848">
        <v>45729</v>
      </c>
      <c r="O84" s="849"/>
      <c r="P84" s="850" t="s">
        <v>46</v>
      </c>
      <c r="Q84" s="838"/>
      <c r="R84" s="862" t="s">
        <v>968</v>
      </c>
      <c r="S84" s="838" t="s">
        <v>58</v>
      </c>
      <c r="T84" s="863" t="s">
        <v>1330</v>
      </c>
      <c r="U84" s="864" t="s">
        <v>1331</v>
      </c>
      <c r="V84" s="848" t="s">
        <v>207</v>
      </c>
      <c r="W84" s="865">
        <v>2233.8003</v>
      </c>
      <c r="X84" s="866">
        <f t="shared" si="46"/>
        <v>2233.8003</v>
      </c>
      <c r="Y84" s="838" t="s">
        <v>1453</v>
      </c>
      <c r="Z84" s="838" t="s">
        <v>1189</v>
      </c>
      <c r="AA84" s="838" t="s">
        <v>53</v>
      </c>
      <c r="AB84" s="873" t="s">
        <v>54</v>
      </c>
      <c r="AC84" s="838"/>
      <c r="AD84" s="874">
        <v>1152</v>
      </c>
      <c r="AE84" s="874">
        <f t="shared" si="45"/>
        <v>0</v>
      </c>
      <c r="AF84" s="875"/>
      <c r="AG84" s="838"/>
      <c r="AH84" s="838"/>
      <c r="AI84" s="838">
        <f t="shared" si="44"/>
        <v>1152</v>
      </c>
      <c r="AJ84" s="838"/>
      <c r="AK84" s="838">
        <f t="shared" si="47"/>
        <v>1152</v>
      </c>
      <c r="AN84" s="838"/>
      <c r="AO84" s="838"/>
      <c r="AQ84" s="838"/>
      <c r="AR84" s="838"/>
      <c r="AS84" s="838">
        <f t="shared" si="48"/>
        <v>1152</v>
      </c>
      <c r="AT84" s="838"/>
      <c r="AX84" s="803">
        <f t="shared" si="49"/>
        <v>96</v>
      </c>
      <c r="BS84" s="888">
        <f t="shared" si="39"/>
        <v>1152</v>
      </c>
      <c r="BT84" s="889">
        <f t="shared" si="40"/>
        <v>2402970</v>
      </c>
      <c r="BU84" s="892"/>
      <c r="BV84" s="892"/>
      <c r="BW84" s="892"/>
      <c r="BX84" s="892"/>
      <c r="BY84" s="891">
        <f t="shared" si="37"/>
        <v>417030</v>
      </c>
      <c r="CA84" s="805">
        <f t="shared" si="41"/>
        <v>0</v>
      </c>
      <c r="CB84" s="888">
        <f t="shared" si="42"/>
        <v>48640.5714285714</v>
      </c>
      <c r="CC84" s="892"/>
      <c r="CD84" s="892"/>
      <c r="CE84" s="892"/>
      <c r="CF84" s="888">
        <f t="shared" si="38"/>
        <v>11359.4285714286</v>
      </c>
      <c r="CG84" s="892"/>
    </row>
    <row r="85" s="803" customFormat="1" ht="31" hidden="1" customHeight="1" spans="1:85">
      <c r="A85" s="834">
        <v>45698</v>
      </c>
      <c r="B85" s="835" t="s">
        <v>1454</v>
      </c>
      <c r="C85" s="839" t="s">
        <v>1455</v>
      </c>
      <c r="D85" s="837">
        <v>4500156544</v>
      </c>
      <c r="E85" s="835"/>
      <c r="F85" s="837" t="s">
        <v>1456</v>
      </c>
      <c r="G85" s="838" t="s">
        <v>1139</v>
      </c>
      <c r="H85" s="838" t="s">
        <v>1140</v>
      </c>
      <c r="I85" s="838">
        <v>1196</v>
      </c>
      <c r="J85" s="838">
        <v>0</v>
      </c>
      <c r="K85" s="838">
        <v>52</v>
      </c>
      <c r="L85" s="847">
        <f t="shared" si="43"/>
        <v>23</v>
      </c>
      <c r="M85" s="848">
        <v>45737</v>
      </c>
      <c r="N85" s="848">
        <v>45734</v>
      </c>
      <c r="O85" s="849"/>
      <c r="P85" s="850" t="s">
        <v>46</v>
      </c>
      <c r="Q85" s="838"/>
      <c r="R85" s="862">
        <v>45696</v>
      </c>
      <c r="S85" s="838" t="s">
        <v>58</v>
      </c>
      <c r="T85" s="863">
        <v>45707</v>
      </c>
      <c r="U85" s="864" t="s">
        <v>1457</v>
      </c>
      <c r="V85" s="848" t="s">
        <v>653</v>
      </c>
      <c r="W85" s="865">
        <v>1.9026</v>
      </c>
      <c r="X85" s="866">
        <f>I85*W85</f>
        <v>2275.5096</v>
      </c>
      <c r="Y85" s="838" t="s">
        <v>1458</v>
      </c>
      <c r="Z85" s="838" t="s">
        <v>1459</v>
      </c>
      <c r="AA85" s="838" t="s">
        <v>53</v>
      </c>
      <c r="AB85" s="873" t="s">
        <v>54</v>
      </c>
      <c r="AC85" s="838"/>
      <c r="AD85" s="874">
        <f>1196</f>
        <v>1196</v>
      </c>
      <c r="AE85" s="874">
        <f t="shared" si="45"/>
        <v>0</v>
      </c>
      <c r="AF85" s="875"/>
      <c r="AG85" s="838" t="s">
        <v>55</v>
      </c>
      <c r="AH85" s="838"/>
      <c r="AI85" s="838">
        <f t="shared" si="44"/>
        <v>1196</v>
      </c>
      <c r="AJ85" s="838"/>
      <c r="AK85" s="838"/>
      <c r="AN85" s="838">
        <f>I85</f>
        <v>1196</v>
      </c>
      <c r="AO85" s="838"/>
      <c r="AQ85" s="838">
        <f>I85</f>
        <v>1196</v>
      </c>
      <c r="AR85" s="838"/>
      <c r="AS85" s="838"/>
      <c r="AT85" s="838"/>
      <c r="BB85" s="803">
        <f>I85/13</f>
        <v>92</v>
      </c>
      <c r="BS85" s="888">
        <f t="shared" si="39"/>
        <v>1196</v>
      </c>
      <c r="BT85" s="889">
        <f t="shared" si="40"/>
        <v>2404166</v>
      </c>
      <c r="BU85" s="892"/>
      <c r="BV85" s="892"/>
      <c r="BW85" s="892"/>
      <c r="BX85" s="892"/>
      <c r="BY85" s="891">
        <f t="shared" si="37"/>
        <v>415834</v>
      </c>
      <c r="CA85" s="805">
        <f t="shared" si="41"/>
        <v>0</v>
      </c>
      <c r="CB85" s="888">
        <f t="shared" si="42"/>
        <v>48640.5714285714</v>
      </c>
      <c r="CC85" s="892"/>
      <c r="CD85" s="892"/>
      <c r="CE85" s="892"/>
      <c r="CF85" s="888">
        <f t="shared" si="38"/>
        <v>11359.4285714286</v>
      </c>
      <c r="CG85" s="892"/>
    </row>
    <row r="86" s="803" customFormat="1" ht="31" customHeight="1" spans="1:85">
      <c r="A86" s="834">
        <v>45712</v>
      </c>
      <c r="B86" s="835" t="s">
        <v>877</v>
      </c>
      <c r="C86" s="839" t="s">
        <v>878</v>
      </c>
      <c r="D86" s="837">
        <v>4500158356</v>
      </c>
      <c r="E86" s="835"/>
      <c r="F86" s="837" t="s">
        <v>1460</v>
      </c>
      <c r="G86" s="838" t="s">
        <v>1155</v>
      </c>
      <c r="H86" s="838" t="s">
        <v>1140</v>
      </c>
      <c r="I86" s="838">
        <v>750</v>
      </c>
      <c r="J86" s="838">
        <v>0</v>
      </c>
      <c r="K86" s="838">
        <v>50</v>
      </c>
      <c r="L86" s="847">
        <f t="shared" si="43"/>
        <v>15</v>
      </c>
      <c r="M86" s="848">
        <v>45744</v>
      </c>
      <c r="N86" s="848">
        <v>45740</v>
      </c>
      <c r="O86" s="849"/>
      <c r="P86" s="850" t="s">
        <v>46</v>
      </c>
      <c r="Q86" s="838"/>
      <c r="R86" s="862">
        <v>45713</v>
      </c>
      <c r="S86" s="838" t="s">
        <v>58</v>
      </c>
      <c r="T86" s="863">
        <v>45712</v>
      </c>
      <c r="U86" s="864" t="s">
        <v>1461</v>
      </c>
      <c r="V86" s="848" t="s">
        <v>653</v>
      </c>
      <c r="W86" s="865">
        <v>2.0019</v>
      </c>
      <c r="X86" s="866">
        <f>I86*W86</f>
        <v>1501.425</v>
      </c>
      <c r="Y86" s="838" t="s">
        <v>1462</v>
      </c>
      <c r="Z86" s="838" t="s">
        <v>1160</v>
      </c>
      <c r="AA86" s="838" t="s">
        <v>53</v>
      </c>
      <c r="AB86" s="873" t="s">
        <v>54</v>
      </c>
      <c r="AC86" s="838"/>
      <c r="AD86" s="874">
        <v>750</v>
      </c>
      <c r="AE86" s="874">
        <f t="shared" si="45"/>
        <v>0</v>
      </c>
      <c r="AF86" s="875"/>
      <c r="AG86" s="838" t="s">
        <v>55</v>
      </c>
      <c r="AH86" s="838"/>
      <c r="AI86" s="838">
        <f t="shared" si="44"/>
        <v>750</v>
      </c>
      <c r="AJ86" s="838"/>
      <c r="AK86" s="838"/>
      <c r="AN86" s="838">
        <f>I86</f>
        <v>750</v>
      </c>
      <c r="AO86" s="838"/>
      <c r="AQ86" s="838">
        <f>I86</f>
        <v>750</v>
      </c>
      <c r="AR86" s="838"/>
      <c r="AS86" s="838"/>
      <c r="AT86" s="838"/>
      <c r="BD86" s="803">
        <f>I86/25</f>
        <v>30</v>
      </c>
      <c r="BS86" s="888">
        <f t="shared" si="39"/>
        <v>750</v>
      </c>
      <c r="BT86" s="889">
        <f t="shared" si="40"/>
        <v>2404916</v>
      </c>
      <c r="BU86" s="892"/>
      <c r="BV86" s="892"/>
      <c r="BW86" s="892"/>
      <c r="BX86" s="892"/>
      <c r="BY86" s="891">
        <f t="shared" si="37"/>
        <v>415084</v>
      </c>
      <c r="CA86" s="805">
        <f t="shared" si="41"/>
        <v>30</v>
      </c>
      <c r="CB86" s="888">
        <f t="shared" si="42"/>
        <v>48670.5714285714</v>
      </c>
      <c r="CC86" s="892"/>
      <c r="CD86" s="892"/>
      <c r="CE86" s="892"/>
      <c r="CF86" s="888">
        <f t="shared" si="38"/>
        <v>11329.4285714286</v>
      </c>
      <c r="CG86" s="892"/>
    </row>
    <row r="87" s="803" customFormat="1" ht="31" hidden="1" customHeight="1" spans="1:85">
      <c r="A87" s="834">
        <v>45740</v>
      </c>
      <c r="B87" s="835"/>
      <c r="C87" s="839"/>
      <c r="D87" s="837" t="s">
        <v>1463</v>
      </c>
      <c r="E87" s="835"/>
      <c r="F87" s="837"/>
      <c r="G87" s="838" t="s">
        <v>1163</v>
      </c>
      <c r="H87" s="838" t="s">
        <v>1140</v>
      </c>
      <c r="I87" s="838" t="s">
        <v>1464</v>
      </c>
      <c r="J87" s="838">
        <v>0</v>
      </c>
      <c r="K87" s="838">
        <v>24</v>
      </c>
      <c r="L87" s="847" t="e">
        <f t="shared" si="43"/>
        <v>#VALUE!</v>
      </c>
      <c r="M87" s="848">
        <v>45749</v>
      </c>
      <c r="N87" s="848">
        <f>M87-4</f>
        <v>45745</v>
      </c>
      <c r="O87" s="849"/>
      <c r="P87" s="850"/>
      <c r="Q87" s="838"/>
      <c r="R87" s="862">
        <v>45740</v>
      </c>
      <c r="S87" s="838" t="s">
        <v>58</v>
      </c>
      <c r="T87" s="863" t="s">
        <v>58</v>
      </c>
      <c r="U87" s="864" t="s">
        <v>1465</v>
      </c>
      <c r="V87" s="848" t="s">
        <v>1466</v>
      </c>
      <c r="W87" s="865"/>
      <c r="X87" s="866"/>
      <c r="Y87" s="838">
        <v>95977</v>
      </c>
      <c r="Z87" s="838"/>
      <c r="AA87" s="838" t="s">
        <v>442</v>
      </c>
      <c r="AB87" s="873"/>
      <c r="AC87" s="838"/>
      <c r="AD87" s="874">
        <v>142</v>
      </c>
      <c r="AE87" s="874">
        <v>0</v>
      </c>
      <c r="AF87" s="875"/>
      <c r="AG87" s="838"/>
      <c r="AH87" s="838"/>
      <c r="AI87" s="838"/>
      <c r="AJ87" s="838"/>
      <c r="AK87" s="838"/>
      <c r="AN87" s="838"/>
      <c r="AO87" s="838"/>
      <c r="AQ87" s="838"/>
      <c r="AR87" s="838"/>
      <c r="AS87" s="838"/>
      <c r="AT87" s="838"/>
      <c r="BS87" s="888">
        <f t="shared" si="39"/>
        <v>0</v>
      </c>
      <c r="BT87" s="889">
        <f t="shared" si="40"/>
        <v>2404916</v>
      </c>
      <c r="BU87" s="892"/>
      <c r="BV87" s="892"/>
      <c r="BW87" s="892"/>
      <c r="BX87" s="892"/>
      <c r="BY87" s="891">
        <f t="shared" si="37"/>
        <v>415084</v>
      </c>
      <c r="CA87" s="805">
        <f t="shared" si="41"/>
        <v>0</v>
      </c>
      <c r="CB87" s="888">
        <f t="shared" si="42"/>
        <v>48670.5714285714</v>
      </c>
      <c r="CC87" s="892"/>
      <c r="CD87" s="892"/>
      <c r="CE87" s="892"/>
      <c r="CF87" s="888">
        <f t="shared" si="38"/>
        <v>11329.4285714286</v>
      </c>
      <c r="CG87" s="892"/>
    </row>
    <row r="88" s="803" customFormat="1" ht="31" hidden="1" customHeight="1" spans="1:85">
      <c r="A88" s="834">
        <v>45740</v>
      </c>
      <c r="B88" s="835"/>
      <c r="C88" s="839"/>
      <c r="D88" s="837" t="s">
        <v>1463</v>
      </c>
      <c r="E88" s="835"/>
      <c r="F88" s="837"/>
      <c r="G88" s="838" t="s">
        <v>1163</v>
      </c>
      <c r="H88" s="838" t="s">
        <v>1140</v>
      </c>
      <c r="I88" s="838" t="s">
        <v>1467</v>
      </c>
      <c r="J88" s="838">
        <v>0</v>
      </c>
      <c r="K88" s="838">
        <v>24</v>
      </c>
      <c r="L88" s="847" t="e">
        <f t="shared" si="43"/>
        <v>#VALUE!</v>
      </c>
      <c r="M88" s="848">
        <v>45749</v>
      </c>
      <c r="N88" s="848">
        <f>M88-4</f>
        <v>45745</v>
      </c>
      <c r="O88" s="849"/>
      <c r="P88" s="850"/>
      <c r="Q88" s="838"/>
      <c r="R88" s="862">
        <v>45740</v>
      </c>
      <c r="S88" s="838" t="s">
        <v>58</v>
      </c>
      <c r="T88" s="863" t="s">
        <v>58</v>
      </c>
      <c r="U88" s="864" t="s">
        <v>1468</v>
      </c>
      <c r="V88" s="848" t="s">
        <v>1466</v>
      </c>
      <c r="W88" s="865"/>
      <c r="X88" s="866"/>
      <c r="Y88" s="838">
        <v>95977</v>
      </c>
      <c r="Z88" s="838"/>
      <c r="AA88" s="838" t="s">
        <v>442</v>
      </c>
      <c r="AB88" s="873"/>
      <c r="AC88" s="838"/>
      <c r="AD88" s="874">
        <v>7</v>
      </c>
      <c r="AE88" s="874">
        <v>0</v>
      </c>
      <c r="AF88" s="875"/>
      <c r="AG88" s="838"/>
      <c r="AH88" s="838"/>
      <c r="AI88" s="838"/>
      <c r="AJ88" s="838"/>
      <c r="AK88" s="838"/>
      <c r="AN88" s="838"/>
      <c r="AO88" s="838"/>
      <c r="AQ88" s="838"/>
      <c r="AR88" s="838"/>
      <c r="AS88" s="838"/>
      <c r="AT88" s="838"/>
      <c r="BS88" s="888">
        <f t="shared" si="39"/>
        <v>0</v>
      </c>
      <c r="BT88" s="889">
        <f t="shared" si="40"/>
        <v>2404916</v>
      </c>
      <c r="BU88" s="892"/>
      <c r="BV88" s="892"/>
      <c r="BW88" s="892"/>
      <c r="BX88" s="892"/>
      <c r="BY88" s="891">
        <f t="shared" si="37"/>
        <v>415084</v>
      </c>
      <c r="CA88" s="805">
        <f t="shared" si="41"/>
        <v>0</v>
      </c>
      <c r="CB88" s="888">
        <f t="shared" si="42"/>
        <v>48670.5714285714</v>
      </c>
      <c r="CC88" s="892"/>
      <c r="CD88" s="892"/>
      <c r="CE88" s="892"/>
      <c r="CF88" s="888">
        <f t="shared" si="38"/>
        <v>11329.4285714286</v>
      </c>
      <c r="CG88" s="892"/>
    </row>
    <row r="89" s="803" customFormat="1" ht="31" hidden="1" customHeight="1" spans="1:85">
      <c r="A89" s="834">
        <v>45721</v>
      </c>
      <c r="B89" s="835" t="s">
        <v>1469</v>
      </c>
      <c r="C89" s="839" t="s">
        <v>1470</v>
      </c>
      <c r="D89" s="837">
        <v>4500159239</v>
      </c>
      <c r="E89" s="835"/>
      <c r="F89" s="837" t="s">
        <v>1471</v>
      </c>
      <c r="G89" s="838" t="s">
        <v>1139</v>
      </c>
      <c r="H89" s="838" t="s">
        <v>1140</v>
      </c>
      <c r="I89" s="838">
        <v>416</v>
      </c>
      <c r="J89" s="838">
        <v>0</v>
      </c>
      <c r="K89" s="838">
        <v>52</v>
      </c>
      <c r="L89" s="847">
        <f t="shared" si="43"/>
        <v>8</v>
      </c>
      <c r="M89" s="848">
        <v>45758</v>
      </c>
      <c r="N89" s="848">
        <f>M89-4</f>
        <v>45754</v>
      </c>
      <c r="O89" s="849"/>
      <c r="P89" s="850" t="s">
        <v>46</v>
      </c>
      <c r="Q89" s="838"/>
      <c r="R89" s="862">
        <v>45721</v>
      </c>
      <c r="S89" s="838" t="s">
        <v>58</v>
      </c>
      <c r="T89" s="863" t="s">
        <v>58</v>
      </c>
      <c r="U89" s="864" t="s">
        <v>1472</v>
      </c>
      <c r="V89" s="848" t="s">
        <v>183</v>
      </c>
      <c r="W89" s="865">
        <v>1.8868</v>
      </c>
      <c r="X89" s="866">
        <f t="shared" ref="X89:X100" si="50">I89*W89</f>
        <v>784.9088</v>
      </c>
      <c r="Y89" s="838" t="s">
        <v>1473</v>
      </c>
      <c r="Z89" s="838" t="s">
        <v>1139</v>
      </c>
      <c r="AA89" s="838" t="s">
        <v>53</v>
      </c>
      <c r="AB89" s="873" t="s">
        <v>54</v>
      </c>
      <c r="AC89" s="838"/>
      <c r="AD89" s="874">
        <v>416</v>
      </c>
      <c r="AE89" s="874">
        <f t="shared" ref="AE89:AE127" si="51">AD89-I89</f>
        <v>0</v>
      </c>
      <c r="AF89" s="875"/>
      <c r="AG89" s="838" t="s">
        <v>58</v>
      </c>
      <c r="AH89" s="838"/>
      <c r="AI89" s="838">
        <f t="shared" ref="AI89:AI99" si="52">I89</f>
        <v>416</v>
      </c>
      <c r="AJ89" s="838"/>
      <c r="AK89" s="838">
        <f>I89</f>
        <v>416</v>
      </c>
      <c r="AN89" s="838"/>
      <c r="AO89" s="838"/>
      <c r="AQ89" s="838">
        <f t="shared" ref="AQ89:AQ99" si="53">I89</f>
        <v>416</v>
      </c>
      <c r="AR89" s="838"/>
      <c r="AS89" s="838"/>
      <c r="AT89" s="838"/>
      <c r="BA89" s="803">
        <f>I89/13</f>
        <v>32</v>
      </c>
      <c r="BS89" s="888">
        <f t="shared" si="39"/>
        <v>416</v>
      </c>
      <c r="BT89" s="889">
        <f t="shared" si="40"/>
        <v>2405332</v>
      </c>
      <c r="BU89" s="892"/>
      <c r="BV89" s="892"/>
      <c r="BW89" s="892"/>
      <c r="BX89" s="892"/>
      <c r="BY89" s="891">
        <f t="shared" si="37"/>
        <v>414668</v>
      </c>
      <c r="CA89" s="805">
        <f t="shared" si="41"/>
        <v>0</v>
      </c>
      <c r="CB89" s="888">
        <f t="shared" si="42"/>
        <v>48670.5714285714</v>
      </c>
      <c r="CC89" s="892"/>
      <c r="CD89" s="892"/>
      <c r="CE89" s="892"/>
      <c r="CF89" s="888">
        <f t="shared" si="38"/>
        <v>11329.4285714286</v>
      </c>
      <c r="CG89" s="892"/>
    </row>
    <row r="90" s="803" customFormat="1" ht="31" customHeight="1" spans="1:85">
      <c r="A90" s="834">
        <v>45712</v>
      </c>
      <c r="B90" s="835" t="s">
        <v>1474</v>
      </c>
      <c r="C90" s="839" t="s">
        <v>765</v>
      </c>
      <c r="D90" s="837">
        <v>4500158302</v>
      </c>
      <c r="E90" s="835"/>
      <c r="F90" s="837" t="s">
        <v>1475</v>
      </c>
      <c r="G90" s="838" t="s">
        <v>1155</v>
      </c>
      <c r="H90" s="838" t="s">
        <v>1140</v>
      </c>
      <c r="I90" s="838">
        <v>350</v>
      </c>
      <c r="J90" s="838">
        <v>0</v>
      </c>
      <c r="K90" s="838">
        <v>50</v>
      </c>
      <c r="L90" s="847">
        <f t="shared" si="43"/>
        <v>7</v>
      </c>
      <c r="M90" s="848">
        <v>45763</v>
      </c>
      <c r="N90" s="848">
        <v>45759</v>
      </c>
      <c r="O90" s="849"/>
      <c r="P90" s="850" t="s">
        <v>46</v>
      </c>
      <c r="Q90" s="838"/>
      <c r="R90" s="862" t="s">
        <v>1476</v>
      </c>
      <c r="S90" s="838" t="s">
        <v>58</v>
      </c>
      <c r="T90" s="863">
        <v>45737</v>
      </c>
      <c r="U90" s="864" t="s">
        <v>1477</v>
      </c>
      <c r="V90" s="848" t="s">
        <v>79</v>
      </c>
      <c r="W90" s="865">
        <v>2.0019</v>
      </c>
      <c r="X90" s="866">
        <f t="shared" si="50"/>
        <v>700.665</v>
      </c>
      <c r="Y90" s="838" t="s">
        <v>1478</v>
      </c>
      <c r="Z90" s="838" t="s">
        <v>1160</v>
      </c>
      <c r="AA90" s="838" t="s">
        <v>53</v>
      </c>
      <c r="AB90" s="873" t="s">
        <v>54</v>
      </c>
      <c r="AC90" s="838"/>
      <c r="AD90" s="874">
        <v>350</v>
      </c>
      <c r="AE90" s="874">
        <f t="shared" si="51"/>
        <v>0</v>
      </c>
      <c r="AF90" s="875"/>
      <c r="AG90" s="838" t="s">
        <v>55</v>
      </c>
      <c r="AH90" s="838"/>
      <c r="AI90" s="838">
        <f t="shared" si="52"/>
        <v>350</v>
      </c>
      <c r="AJ90" s="838"/>
      <c r="AK90" s="838"/>
      <c r="AN90" s="838">
        <f>I90</f>
        <v>350</v>
      </c>
      <c r="AO90" s="838"/>
      <c r="AQ90" s="838">
        <f t="shared" si="53"/>
        <v>350</v>
      </c>
      <c r="AR90" s="838"/>
      <c r="AS90" s="838"/>
      <c r="AT90" s="838"/>
      <c r="BD90" s="803">
        <f>I90/25</f>
        <v>14</v>
      </c>
      <c r="BS90" s="888">
        <f t="shared" si="39"/>
        <v>350</v>
      </c>
      <c r="BT90" s="889">
        <f t="shared" si="40"/>
        <v>2405682</v>
      </c>
      <c r="BU90" s="892"/>
      <c r="BV90" s="892"/>
      <c r="BW90" s="892"/>
      <c r="BX90" s="892"/>
      <c r="BY90" s="891">
        <f t="shared" si="37"/>
        <v>414318</v>
      </c>
      <c r="CA90" s="805">
        <f t="shared" si="41"/>
        <v>14</v>
      </c>
      <c r="CB90" s="888">
        <f t="shared" si="42"/>
        <v>48684.5714285714</v>
      </c>
      <c r="CC90" s="892"/>
      <c r="CD90" s="892"/>
      <c r="CE90" s="892"/>
      <c r="CF90" s="888">
        <f t="shared" si="38"/>
        <v>11315.4285714286</v>
      </c>
      <c r="CG90" s="892"/>
    </row>
    <row r="91" s="803" customFormat="1" ht="31" customHeight="1" spans="1:85">
      <c r="A91" s="834">
        <v>45712</v>
      </c>
      <c r="B91" s="835" t="s">
        <v>1479</v>
      </c>
      <c r="C91" s="839" t="s">
        <v>1480</v>
      </c>
      <c r="D91" s="837">
        <v>4500158358</v>
      </c>
      <c r="E91" s="835"/>
      <c r="F91" s="837" t="s">
        <v>1481</v>
      </c>
      <c r="G91" s="838" t="s">
        <v>1155</v>
      </c>
      <c r="H91" s="838" t="s">
        <v>1140</v>
      </c>
      <c r="I91" s="838">
        <v>200</v>
      </c>
      <c r="J91" s="838">
        <v>0</v>
      </c>
      <c r="K91" s="838">
        <v>50</v>
      </c>
      <c r="L91" s="847">
        <f t="shared" si="43"/>
        <v>4</v>
      </c>
      <c r="M91" s="848">
        <v>45763</v>
      </c>
      <c r="N91" s="848">
        <v>45759</v>
      </c>
      <c r="O91" s="849"/>
      <c r="P91" s="850" t="s">
        <v>46</v>
      </c>
      <c r="Q91" s="838"/>
      <c r="R91" s="862" t="s">
        <v>1476</v>
      </c>
      <c r="S91" s="838" t="s">
        <v>58</v>
      </c>
      <c r="T91" s="863">
        <v>45737</v>
      </c>
      <c r="U91" s="864" t="s">
        <v>1482</v>
      </c>
      <c r="V91" s="848" t="s">
        <v>79</v>
      </c>
      <c r="W91" s="865">
        <v>2.0019</v>
      </c>
      <c r="X91" s="866">
        <f t="shared" si="50"/>
        <v>400.38</v>
      </c>
      <c r="Y91" s="838" t="s">
        <v>1483</v>
      </c>
      <c r="Z91" s="838" t="s">
        <v>1160</v>
      </c>
      <c r="AA91" s="838" t="s">
        <v>53</v>
      </c>
      <c r="AB91" s="873" t="s">
        <v>54</v>
      </c>
      <c r="AC91" s="838"/>
      <c r="AD91" s="874">
        <v>200</v>
      </c>
      <c r="AE91" s="874">
        <f t="shared" si="51"/>
        <v>0</v>
      </c>
      <c r="AF91" s="875"/>
      <c r="AG91" s="838"/>
      <c r="AH91" s="838"/>
      <c r="AI91" s="838">
        <f t="shared" si="52"/>
        <v>200</v>
      </c>
      <c r="AJ91" s="838"/>
      <c r="AK91" s="838"/>
      <c r="AN91" s="838">
        <f>I91</f>
        <v>200</v>
      </c>
      <c r="AO91" s="838"/>
      <c r="AQ91" s="838">
        <f t="shared" si="53"/>
        <v>200</v>
      </c>
      <c r="AR91" s="838"/>
      <c r="AS91" s="838"/>
      <c r="AT91" s="838"/>
      <c r="BD91" s="803">
        <f>I91/25</f>
        <v>8</v>
      </c>
      <c r="BS91" s="888">
        <f t="shared" si="39"/>
        <v>200</v>
      </c>
      <c r="BT91" s="889">
        <f t="shared" si="40"/>
        <v>2405882</v>
      </c>
      <c r="BU91" s="892"/>
      <c r="BV91" s="892"/>
      <c r="BW91" s="892"/>
      <c r="BX91" s="892"/>
      <c r="BY91" s="891">
        <f t="shared" si="37"/>
        <v>414118</v>
      </c>
      <c r="CA91" s="805">
        <f t="shared" si="41"/>
        <v>8</v>
      </c>
      <c r="CB91" s="888">
        <f t="shared" si="42"/>
        <v>48692.5714285714</v>
      </c>
      <c r="CC91" s="892"/>
      <c r="CD91" s="892"/>
      <c r="CE91" s="892"/>
      <c r="CF91" s="888">
        <f t="shared" si="38"/>
        <v>11307.4285714286</v>
      </c>
      <c r="CG91" s="892"/>
    </row>
    <row r="92" s="803" customFormat="1" ht="31" customHeight="1" spans="1:85">
      <c r="A92" s="834">
        <v>45712</v>
      </c>
      <c r="B92" s="835" t="s">
        <v>1484</v>
      </c>
      <c r="C92" s="839" t="s">
        <v>1485</v>
      </c>
      <c r="D92" s="837">
        <v>4500158415</v>
      </c>
      <c r="E92" s="835"/>
      <c r="F92" s="837" t="s">
        <v>1486</v>
      </c>
      <c r="G92" s="838" t="s">
        <v>1155</v>
      </c>
      <c r="H92" s="838" t="s">
        <v>1140</v>
      </c>
      <c r="I92" s="838">
        <v>250</v>
      </c>
      <c r="J92" s="838">
        <v>0</v>
      </c>
      <c r="K92" s="838">
        <v>50</v>
      </c>
      <c r="L92" s="847">
        <f t="shared" si="43"/>
        <v>5</v>
      </c>
      <c r="M92" s="848">
        <v>45763</v>
      </c>
      <c r="N92" s="848">
        <v>45759</v>
      </c>
      <c r="O92" s="849"/>
      <c r="P92" s="850" t="s">
        <v>46</v>
      </c>
      <c r="Q92" s="838"/>
      <c r="R92" s="862" t="s">
        <v>1476</v>
      </c>
      <c r="S92" s="838" t="s">
        <v>58</v>
      </c>
      <c r="T92" s="863">
        <v>45737</v>
      </c>
      <c r="U92" s="864" t="s">
        <v>1487</v>
      </c>
      <c r="V92" s="848" t="s">
        <v>79</v>
      </c>
      <c r="W92" s="865">
        <v>2.0019</v>
      </c>
      <c r="X92" s="866">
        <f t="shared" si="50"/>
        <v>500.475</v>
      </c>
      <c r="Y92" s="838" t="s">
        <v>1488</v>
      </c>
      <c r="Z92" s="838" t="s">
        <v>1160</v>
      </c>
      <c r="AA92" s="838" t="s">
        <v>53</v>
      </c>
      <c r="AB92" s="873" t="s">
        <v>54</v>
      </c>
      <c r="AC92" s="838"/>
      <c r="AD92" s="874">
        <v>250</v>
      </c>
      <c r="AE92" s="874">
        <f t="shared" si="51"/>
        <v>0</v>
      </c>
      <c r="AF92" s="875"/>
      <c r="AG92" s="838"/>
      <c r="AH92" s="838"/>
      <c r="AI92" s="838">
        <f t="shared" si="52"/>
        <v>250</v>
      </c>
      <c r="AJ92" s="838"/>
      <c r="AK92" s="838"/>
      <c r="AN92" s="838">
        <f>I92</f>
        <v>250</v>
      </c>
      <c r="AO92" s="838"/>
      <c r="AQ92" s="838">
        <f t="shared" si="53"/>
        <v>250</v>
      </c>
      <c r="AR92" s="838"/>
      <c r="AS92" s="838"/>
      <c r="AT92" s="838"/>
      <c r="BD92" s="803">
        <f>I92/25</f>
        <v>10</v>
      </c>
      <c r="BS92" s="888">
        <f t="shared" si="39"/>
        <v>250</v>
      </c>
      <c r="BT92" s="889">
        <f t="shared" si="40"/>
        <v>2406132</v>
      </c>
      <c r="BU92" s="892"/>
      <c r="BV92" s="892"/>
      <c r="BW92" s="892"/>
      <c r="BX92" s="892"/>
      <c r="BY92" s="891">
        <f t="shared" si="37"/>
        <v>413868</v>
      </c>
      <c r="CA92" s="805">
        <f t="shared" si="41"/>
        <v>10</v>
      </c>
      <c r="CB92" s="888">
        <f t="shared" si="42"/>
        <v>48702.5714285714</v>
      </c>
      <c r="CC92" s="892"/>
      <c r="CD92" s="892"/>
      <c r="CE92" s="892"/>
      <c r="CF92" s="888">
        <f t="shared" si="38"/>
        <v>11297.4285714286</v>
      </c>
      <c r="CG92" s="892"/>
    </row>
    <row r="93" s="803" customFormat="1" ht="31" customHeight="1" spans="1:85">
      <c r="A93" s="834">
        <v>45714</v>
      </c>
      <c r="B93" s="835" t="s">
        <v>1489</v>
      </c>
      <c r="C93" s="839" t="s">
        <v>753</v>
      </c>
      <c r="D93" s="837">
        <v>4500158535</v>
      </c>
      <c r="E93" s="835"/>
      <c r="F93" s="837" t="s">
        <v>1490</v>
      </c>
      <c r="G93" s="838" t="s">
        <v>1155</v>
      </c>
      <c r="H93" s="838" t="s">
        <v>1140</v>
      </c>
      <c r="I93" s="838">
        <v>900</v>
      </c>
      <c r="J93" s="838">
        <v>0</v>
      </c>
      <c r="K93" s="838">
        <v>50</v>
      </c>
      <c r="L93" s="847">
        <f t="shared" si="43"/>
        <v>18</v>
      </c>
      <c r="M93" s="848">
        <v>45763</v>
      </c>
      <c r="N93" s="848">
        <v>45759</v>
      </c>
      <c r="O93" s="849"/>
      <c r="P93" s="850" t="s">
        <v>46</v>
      </c>
      <c r="Q93" s="838"/>
      <c r="R93" s="862" t="s">
        <v>1476</v>
      </c>
      <c r="S93" s="838" t="s">
        <v>58</v>
      </c>
      <c r="T93" s="863">
        <v>45737</v>
      </c>
      <c r="U93" s="864" t="s">
        <v>1491</v>
      </c>
      <c r="V93" s="848" t="s">
        <v>79</v>
      </c>
      <c r="W93" s="865">
        <v>2.0019</v>
      </c>
      <c r="X93" s="866">
        <f t="shared" si="50"/>
        <v>1801.71</v>
      </c>
      <c r="Y93" s="838" t="s">
        <v>1492</v>
      </c>
      <c r="Z93" s="838" t="s">
        <v>1160</v>
      </c>
      <c r="AA93" s="838" t="s">
        <v>53</v>
      </c>
      <c r="AB93" s="873" t="s">
        <v>54</v>
      </c>
      <c r="AC93" s="838"/>
      <c r="AD93" s="874">
        <v>900</v>
      </c>
      <c r="AE93" s="874">
        <f t="shared" si="51"/>
        <v>0</v>
      </c>
      <c r="AF93" s="875"/>
      <c r="AG93" s="838"/>
      <c r="AH93" s="838"/>
      <c r="AI93" s="838">
        <f t="shared" si="52"/>
        <v>900</v>
      </c>
      <c r="AJ93" s="838"/>
      <c r="AK93" s="838"/>
      <c r="AN93" s="838">
        <f>I93</f>
        <v>900</v>
      </c>
      <c r="AO93" s="838"/>
      <c r="AQ93" s="838">
        <f t="shared" si="53"/>
        <v>900</v>
      </c>
      <c r="AR93" s="838"/>
      <c r="AS93" s="838"/>
      <c r="AT93" s="838"/>
      <c r="BD93" s="803">
        <f>I93/25</f>
        <v>36</v>
      </c>
      <c r="BS93" s="888">
        <f t="shared" si="39"/>
        <v>900</v>
      </c>
      <c r="BT93" s="889">
        <f t="shared" si="40"/>
        <v>2407032</v>
      </c>
      <c r="BU93" s="892"/>
      <c r="BV93" s="892"/>
      <c r="BW93" s="892"/>
      <c r="BX93" s="892"/>
      <c r="BY93" s="891">
        <f t="shared" si="37"/>
        <v>412968</v>
      </c>
      <c r="CA93" s="805">
        <f t="shared" si="41"/>
        <v>36</v>
      </c>
      <c r="CB93" s="888">
        <f t="shared" si="42"/>
        <v>48738.5714285714</v>
      </c>
      <c r="CC93" s="892"/>
      <c r="CD93" s="892"/>
      <c r="CE93" s="892"/>
      <c r="CF93" s="888">
        <f t="shared" si="38"/>
        <v>11261.4285714286</v>
      </c>
      <c r="CG93" s="892"/>
    </row>
    <row r="94" s="803" customFormat="1" ht="31" customHeight="1" spans="1:85">
      <c r="A94" s="834">
        <v>45714</v>
      </c>
      <c r="B94" s="835" t="s">
        <v>1493</v>
      </c>
      <c r="C94" s="839" t="s">
        <v>759</v>
      </c>
      <c r="D94" s="837">
        <v>4500158447</v>
      </c>
      <c r="E94" s="835"/>
      <c r="F94" s="837" t="s">
        <v>1494</v>
      </c>
      <c r="G94" s="838" t="s">
        <v>1155</v>
      </c>
      <c r="H94" s="838" t="s">
        <v>1140</v>
      </c>
      <c r="I94" s="838">
        <v>1000</v>
      </c>
      <c r="J94" s="838">
        <v>0</v>
      </c>
      <c r="K94" s="838">
        <v>50</v>
      </c>
      <c r="L94" s="847">
        <f t="shared" si="43"/>
        <v>20</v>
      </c>
      <c r="M94" s="848">
        <v>45763</v>
      </c>
      <c r="N94" s="848">
        <v>45759</v>
      </c>
      <c r="O94" s="849"/>
      <c r="P94" s="850" t="s">
        <v>46</v>
      </c>
      <c r="Q94" s="838"/>
      <c r="R94" s="862" t="s">
        <v>1476</v>
      </c>
      <c r="S94" s="838" t="s">
        <v>58</v>
      </c>
      <c r="T94" s="863">
        <v>45737</v>
      </c>
      <c r="U94" s="864" t="s">
        <v>1487</v>
      </c>
      <c r="V94" s="848" t="s">
        <v>79</v>
      </c>
      <c r="W94" s="865">
        <v>2.0019</v>
      </c>
      <c r="X94" s="866">
        <f t="shared" si="50"/>
        <v>2001.9</v>
      </c>
      <c r="Y94" s="838" t="s">
        <v>1495</v>
      </c>
      <c r="Z94" s="838" t="s">
        <v>1160</v>
      </c>
      <c r="AA94" s="838" t="s">
        <v>53</v>
      </c>
      <c r="AB94" s="873" t="s">
        <v>54</v>
      </c>
      <c r="AC94" s="838"/>
      <c r="AD94" s="874">
        <f>950+50</f>
        <v>1000</v>
      </c>
      <c r="AE94" s="874">
        <f t="shared" si="51"/>
        <v>0</v>
      </c>
      <c r="AF94" s="875"/>
      <c r="AG94" s="838"/>
      <c r="AH94" s="838"/>
      <c r="AI94" s="838">
        <f t="shared" si="52"/>
        <v>1000</v>
      </c>
      <c r="AJ94" s="838"/>
      <c r="AK94" s="838"/>
      <c r="AN94" s="838">
        <f>I94</f>
        <v>1000</v>
      </c>
      <c r="AO94" s="838"/>
      <c r="AQ94" s="838">
        <f t="shared" si="53"/>
        <v>1000</v>
      </c>
      <c r="AR94" s="838"/>
      <c r="AS94" s="838"/>
      <c r="AT94" s="838"/>
      <c r="BD94" s="803">
        <f>I94/25</f>
        <v>40</v>
      </c>
      <c r="BS94" s="888">
        <f t="shared" si="39"/>
        <v>1000</v>
      </c>
      <c r="BT94" s="889">
        <f t="shared" si="40"/>
        <v>2408032</v>
      </c>
      <c r="BU94" s="892"/>
      <c r="BV94" s="892"/>
      <c r="BW94" s="892"/>
      <c r="BX94" s="892"/>
      <c r="BY94" s="891">
        <f t="shared" si="37"/>
        <v>411968</v>
      </c>
      <c r="CA94" s="805">
        <f t="shared" si="41"/>
        <v>40</v>
      </c>
      <c r="CB94" s="888">
        <f t="shared" si="42"/>
        <v>48778.5714285714</v>
      </c>
      <c r="CC94" s="892"/>
      <c r="CD94" s="892"/>
      <c r="CE94" s="892"/>
      <c r="CF94" s="888">
        <f t="shared" si="38"/>
        <v>11221.4285714286</v>
      </c>
      <c r="CG94" s="892"/>
    </row>
    <row r="95" s="803" customFormat="1" ht="31" customHeight="1" spans="1:85">
      <c r="A95" s="834">
        <v>45733</v>
      </c>
      <c r="B95" s="835" t="s">
        <v>1496</v>
      </c>
      <c r="C95" s="839" t="s">
        <v>1485</v>
      </c>
      <c r="D95" s="837">
        <v>4500160421</v>
      </c>
      <c r="E95" s="835"/>
      <c r="F95" s="837" t="s">
        <v>1497</v>
      </c>
      <c r="G95" s="838" t="s">
        <v>1155</v>
      </c>
      <c r="H95" s="838" t="s">
        <v>1140</v>
      </c>
      <c r="I95" s="838">
        <v>200</v>
      </c>
      <c r="J95" s="838">
        <v>0</v>
      </c>
      <c r="K95" s="838">
        <v>50</v>
      </c>
      <c r="L95" s="847">
        <f t="shared" si="43"/>
        <v>4</v>
      </c>
      <c r="M95" s="848">
        <v>45768</v>
      </c>
      <c r="N95" s="848">
        <v>45764</v>
      </c>
      <c r="O95" s="849"/>
      <c r="P95" s="850" t="s">
        <v>46</v>
      </c>
      <c r="Q95" s="838"/>
      <c r="R95" s="862">
        <v>45736</v>
      </c>
      <c r="S95" s="838" t="s">
        <v>58</v>
      </c>
      <c r="T95" s="863">
        <v>45741</v>
      </c>
      <c r="U95" s="864" t="s">
        <v>1498</v>
      </c>
      <c r="V95" s="848" t="s">
        <v>653</v>
      </c>
      <c r="W95" s="865">
        <v>1.9605</v>
      </c>
      <c r="X95" s="866">
        <f t="shared" si="50"/>
        <v>392.1</v>
      </c>
      <c r="Y95" s="838" t="s">
        <v>1499</v>
      </c>
      <c r="Z95" s="838" t="s">
        <v>1155</v>
      </c>
      <c r="AA95" s="838" t="s">
        <v>53</v>
      </c>
      <c r="AB95" s="873" t="s">
        <v>54</v>
      </c>
      <c r="AC95" s="838"/>
      <c r="AD95" s="874">
        <v>200</v>
      </c>
      <c r="AE95" s="874">
        <f t="shared" si="51"/>
        <v>0</v>
      </c>
      <c r="AF95" s="875"/>
      <c r="AG95" s="838" t="s">
        <v>55</v>
      </c>
      <c r="AH95" s="838"/>
      <c r="AI95" s="838">
        <f t="shared" si="52"/>
        <v>200</v>
      </c>
      <c r="AJ95" s="838"/>
      <c r="AK95" s="838">
        <f>I95</f>
        <v>200</v>
      </c>
      <c r="AN95" s="838"/>
      <c r="AO95" s="838"/>
      <c r="AQ95" s="838">
        <f t="shared" si="53"/>
        <v>200</v>
      </c>
      <c r="AR95" s="838"/>
      <c r="AS95" s="838"/>
      <c r="AT95" s="838"/>
      <c r="BC95" s="803">
        <f>I95/25</f>
        <v>8</v>
      </c>
      <c r="BS95" s="888">
        <f t="shared" si="39"/>
        <v>200</v>
      </c>
      <c r="BT95" s="889">
        <f t="shared" si="40"/>
        <v>2408232</v>
      </c>
      <c r="BU95" s="892"/>
      <c r="BV95" s="892"/>
      <c r="BW95" s="892"/>
      <c r="BX95" s="892"/>
      <c r="BY95" s="891">
        <f t="shared" si="37"/>
        <v>411768</v>
      </c>
      <c r="CA95" s="805">
        <f t="shared" si="41"/>
        <v>8</v>
      </c>
      <c r="CB95" s="888">
        <f t="shared" si="42"/>
        <v>48786.5714285714</v>
      </c>
      <c r="CC95" s="892"/>
      <c r="CD95" s="892"/>
      <c r="CE95" s="892"/>
      <c r="CF95" s="888">
        <f t="shared" si="38"/>
        <v>11213.4285714286</v>
      </c>
      <c r="CG95" s="892"/>
    </row>
    <row r="96" s="803" customFormat="1" ht="31" hidden="1" customHeight="1" spans="1:85">
      <c r="A96" s="834">
        <v>45743</v>
      </c>
      <c r="B96" s="835" t="s">
        <v>199</v>
      </c>
      <c r="C96" s="839" t="s">
        <v>84</v>
      </c>
      <c r="D96" s="837">
        <v>4500161593</v>
      </c>
      <c r="E96" s="835" t="s">
        <v>1500</v>
      </c>
      <c r="F96" s="837" t="s">
        <v>1501</v>
      </c>
      <c r="G96" s="838" t="s">
        <v>1189</v>
      </c>
      <c r="H96" s="838" t="s">
        <v>1140</v>
      </c>
      <c r="I96" s="838">
        <v>2304</v>
      </c>
      <c r="J96" s="838">
        <v>0</v>
      </c>
      <c r="K96" s="838">
        <v>1152</v>
      </c>
      <c r="L96" s="847">
        <f t="shared" si="43"/>
        <v>2</v>
      </c>
      <c r="M96" s="848">
        <v>45771</v>
      </c>
      <c r="N96" s="848">
        <v>45768</v>
      </c>
      <c r="O96" s="849" t="s">
        <v>1502</v>
      </c>
      <c r="P96" s="850" t="s">
        <v>46</v>
      </c>
      <c r="Q96" s="838"/>
      <c r="R96" s="862" t="s">
        <v>251</v>
      </c>
      <c r="S96" s="838" t="s">
        <v>58</v>
      </c>
      <c r="T96" s="863" t="s">
        <v>969</v>
      </c>
      <c r="U96" s="864" t="s">
        <v>1239</v>
      </c>
      <c r="V96" s="848" t="s">
        <v>207</v>
      </c>
      <c r="W96" s="865">
        <v>2180.9506</v>
      </c>
      <c r="X96" s="866">
        <f>W96*L96</f>
        <v>4361.9012</v>
      </c>
      <c r="Y96" s="838" t="s">
        <v>1503</v>
      </c>
      <c r="Z96" s="838" t="s">
        <v>1189</v>
      </c>
      <c r="AA96" s="838" t="s">
        <v>53</v>
      </c>
      <c r="AB96" s="873" t="s">
        <v>54</v>
      </c>
      <c r="AC96" s="838"/>
      <c r="AD96" s="874">
        <v>2304</v>
      </c>
      <c r="AE96" s="874">
        <f t="shared" si="51"/>
        <v>0</v>
      </c>
      <c r="AF96" s="875"/>
      <c r="AG96" s="838" t="s">
        <v>55</v>
      </c>
      <c r="AH96" s="838"/>
      <c r="AI96" s="838">
        <f t="shared" si="52"/>
        <v>2304</v>
      </c>
      <c r="AJ96" s="838"/>
      <c r="AK96" s="838">
        <f>I96</f>
        <v>2304</v>
      </c>
      <c r="AN96" s="838"/>
      <c r="AO96" s="838"/>
      <c r="AQ96" s="838"/>
      <c r="AR96" s="838"/>
      <c r="AS96" s="838">
        <f>I96</f>
        <v>2304</v>
      </c>
      <c r="AT96" s="838"/>
      <c r="AX96" s="803">
        <f>I96/12</f>
        <v>192</v>
      </c>
      <c r="BS96" s="888">
        <f t="shared" si="39"/>
        <v>2304</v>
      </c>
      <c r="BT96" s="889">
        <f t="shared" si="40"/>
        <v>2410536</v>
      </c>
      <c r="BU96" s="892"/>
      <c r="BV96" s="892"/>
      <c r="BW96" s="892"/>
      <c r="BX96" s="892"/>
      <c r="BY96" s="891">
        <f t="shared" si="37"/>
        <v>409464</v>
      </c>
      <c r="CA96" s="805">
        <f t="shared" si="41"/>
        <v>0</v>
      </c>
      <c r="CB96" s="888">
        <f t="shared" si="42"/>
        <v>48786.5714285714</v>
      </c>
      <c r="CC96" s="892"/>
      <c r="CD96" s="892"/>
      <c r="CE96" s="892"/>
      <c r="CF96" s="888">
        <f t="shared" si="38"/>
        <v>11213.4285714286</v>
      </c>
      <c r="CG96" s="892"/>
    </row>
    <row r="97" s="803" customFormat="1" ht="31" hidden="1" customHeight="1" spans="1:85">
      <c r="A97" s="834">
        <v>45743</v>
      </c>
      <c r="B97" s="835" t="s">
        <v>199</v>
      </c>
      <c r="C97" s="839" t="s">
        <v>84</v>
      </c>
      <c r="D97" s="837">
        <v>4500161593</v>
      </c>
      <c r="E97" s="835" t="s">
        <v>1504</v>
      </c>
      <c r="F97" s="837" t="s">
        <v>1505</v>
      </c>
      <c r="G97" s="838" t="s">
        <v>1189</v>
      </c>
      <c r="H97" s="838" t="s">
        <v>1140</v>
      </c>
      <c r="I97" s="838">
        <v>1152</v>
      </c>
      <c r="J97" s="838">
        <v>0</v>
      </c>
      <c r="K97" s="838">
        <v>1152</v>
      </c>
      <c r="L97" s="847">
        <f t="shared" si="43"/>
        <v>1</v>
      </c>
      <c r="M97" s="848">
        <v>45771</v>
      </c>
      <c r="N97" s="848">
        <v>45768</v>
      </c>
      <c r="O97" s="849" t="s">
        <v>1502</v>
      </c>
      <c r="P97" s="850" t="s">
        <v>46</v>
      </c>
      <c r="Q97" s="838"/>
      <c r="R97" s="862" t="s">
        <v>251</v>
      </c>
      <c r="S97" s="838" t="s">
        <v>58</v>
      </c>
      <c r="T97" s="863" t="s">
        <v>969</v>
      </c>
      <c r="U97" s="864" t="s">
        <v>1239</v>
      </c>
      <c r="V97" s="848" t="s">
        <v>207</v>
      </c>
      <c r="W97" s="865">
        <v>2180.9506</v>
      </c>
      <c r="X97" s="866">
        <f>W97*L97</f>
        <v>2180.9506</v>
      </c>
      <c r="Y97" s="838" t="s">
        <v>1506</v>
      </c>
      <c r="Z97" s="838" t="s">
        <v>1189</v>
      </c>
      <c r="AA97" s="838" t="s">
        <v>53</v>
      </c>
      <c r="AB97" s="873" t="s">
        <v>54</v>
      </c>
      <c r="AC97" s="838"/>
      <c r="AD97" s="874">
        <v>1152</v>
      </c>
      <c r="AE97" s="874">
        <f t="shared" si="51"/>
        <v>0</v>
      </c>
      <c r="AF97" s="875"/>
      <c r="AG97" s="838" t="s">
        <v>55</v>
      </c>
      <c r="AH97" s="838"/>
      <c r="AI97" s="838">
        <f t="shared" si="52"/>
        <v>1152</v>
      </c>
      <c r="AJ97" s="838"/>
      <c r="AK97" s="838">
        <f>I97</f>
        <v>1152</v>
      </c>
      <c r="AN97" s="838"/>
      <c r="AO97" s="838"/>
      <c r="AQ97" s="838"/>
      <c r="AR97" s="838"/>
      <c r="AS97" s="838">
        <f>I97</f>
        <v>1152</v>
      </c>
      <c r="AT97" s="838"/>
      <c r="AX97" s="803">
        <f>I97/12</f>
        <v>96</v>
      </c>
      <c r="BS97" s="888">
        <f t="shared" si="39"/>
        <v>1152</v>
      </c>
      <c r="BT97" s="889">
        <f t="shared" si="40"/>
        <v>2411688</v>
      </c>
      <c r="BU97" s="892"/>
      <c r="BV97" s="892"/>
      <c r="BW97" s="892"/>
      <c r="BX97" s="892"/>
      <c r="BY97" s="891">
        <f t="shared" si="37"/>
        <v>408312</v>
      </c>
      <c r="CA97" s="805">
        <f t="shared" si="41"/>
        <v>0</v>
      </c>
      <c r="CB97" s="888">
        <f t="shared" si="42"/>
        <v>48786.5714285714</v>
      </c>
      <c r="CC97" s="892"/>
      <c r="CD97" s="892"/>
      <c r="CE97" s="892"/>
      <c r="CF97" s="888">
        <f t="shared" si="38"/>
        <v>11213.4285714286</v>
      </c>
      <c r="CG97" s="892"/>
    </row>
    <row r="98" s="803" customFormat="1" ht="31" hidden="1" customHeight="1" spans="1:85">
      <c r="A98" s="834">
        <v>45735</v>
      </c>
      <c r="B98" s="835" t="s">
        <v>1507</v>
      </c>
      <c r="C98" s="839" t="s">
        <v>1508</v>
      </c>
      <c r="D98" s="837">
        <v>4500160671</v>
      </c>
      <c r="E98" s="835"/>
      <c r="F98" s="837" t="s">
        <v>1509</v>
      </c>
      <c r="G98" s="838" t="s">
        <v>1139</v>
      </c>
      <c r="H98" s="838" t="s">
        <v>1140</v>
      </c>
      <c r="I98" s="838">
        <v>260</v>
      </c>
      <c r="J98" s="838">
        <v>0</v>
      </c>
      <c r="K98" s="838">
        <v>52</v>
      </c>
      <c r="L98" s="847">
        <f t="shared" si="43"/>
        <v>5</v>
      </c>
      <c r="M98" s="848">
        <v>45772</v>
      </c>
      <c r="N98" s="848">
        <v>45768</v>
      </c>
      <c r="O98" s="849"/>
      <c r="P98" s="850" t="s">
        <v>46</v>
      </c>
      <c r="Q98" s="838"/>
      <c r="R98" s="862">
        <v>45735</v>
      </c>
      <c r="S98" s="838" t="s">
        <v>58</v>
      </c>
      <c r="T98" s="863" t="s">
        <v>1510</v>
      </c>
      <c r="U98" s="864" t="s">
        <v>1511</v>
      </c>
      <c r="V98" s="848" t="s">
        <v>1512</v>
      </c>
      <c r="W98" s="865">
        <v>1.8632</v>
      </c>
      <c r="X98" s="866">
        <f t="shared" ref="X98:X115" si="54">I98*W98</f>
        <v>484.432</v>
      </c>
      <c r="Y98" s="838" t="s">
        <v>1513</v>
      </c>
      <c r="Z98" s="838" t="s">
        <v>1139</v>
      </c>
      <c r="AA98" s="838" t="s">
        <v>53</v>
      </c>
      <c r="AB98" s="873" t="s">
        <v>54</v>
      </c>
      <c r="AC98" s="838"/>
      <c r="AD98" s="874">
        <v>260</v>
      </c>
      <c r="AE98" s="874">
        <f t="shared" si="51"/>
        <v>0</v>
      </c>
      <c r="AF98" s="875"/>
      <c r="AG98" s="838" t="s">
        <v>55</v>
      </c>
      <c r="AH98" s="838"/>
      <c r="AI98" s="838">
        <f t="shared" si="52"/>
        <v>260</v>
      </c>
      <c r="AJ98" s="838"/>
      <c r="AK98" s="838">
        <f>I98</f>
        <v>260</v>
      </c>
      <c r="AN98" s="838"/>
      <c r="AO98" s="838"/>
      <c r="AQ98" s="838">
        <f t="shared" ref="AQ98:AQ108" si="55">I98</f>
        <v>260</v>
      </c>
      <c r="AR98" s="838"/>
      <c r="AS98" s="838"/>
      <c r="AT98" s="838"/>
      <c r="BA98" s="803">
        <f>I98/13</f>
        <v>20</v>
      </c>
      <c r="BS98" s="888">
        <f t="shared" si="39"/>
        <v>260</v>
      </c>
      <c r="BT98" s="889">
        <f t="shared" si="40"/>
        <v>2411948</v>
      </c>
      <c r="BU98" s="892"/>
      <c r="BV98" s="892"/>
      <c r="BW98" s="892"/>
      <c r="BX98" s="892"/>
      <c r="BY98" s="891">
        <f t="shared" si="37"/>
        <v>408052</v>
      </c>
      <c r="CA98" s="805">
        <f t="shared" si="41"/>
        <v>0</v>
      </c>
      <c r="CB98" s="888">
        <f t="shared" si="42"/>
        <v>48786.5714285714</v>
      </c>
      <c r="CC98" s="892"/>
      <c r="CD98" s="892"/>
      <c r="CE98" s="892"/>
      <c r="CF98" s="888">
        <f t="shared" si="38"/>
        <v>11213.4285714286</v>
      </c>
      <c r="CG98" s="892"/>
    </row>
    <row r="99" s="803" customFormat="1" ht="31" hidden="1" customHeight="1" spans="1:85">
      <c r="A99" s="834">
        <v>45735</v>
      </c>
      <c r="B99" s="835" t="s">
        <v>535</v>
      </c>
      <c r="C99" s="839" t="s">
        <v>63</v>
      </c>
      <c r="D99" s="837">
        <v>4500160662</v>
      </c>
      <c r="E99" s="835" t="s">
        <v>1514</v>
      </c>
      <c r="F99" s="837" t="s">
        <v>1515</v>
      </c>
      <c r="G99" s="838" t="s">
        <v>1147</v>
      </c>
      <c r="H99" s="838" t="s">
        <v>1148</v>
      </c>
      <c r="I99" s="838">
        <v>1008</v>
      </c>
      <c r="J99" s="838">
        <v>0</v>
      </c>
      <c r="K99" s="838">
        <v>12</v>
      </c>
      <c r="L99" s="847">
        <f t="shared" si="43"/>
        <v>84</v>
      </c>
      <c r="M99" s="848">
        <v>45777</v>
      </c>
      <c r="N99" s="848">
        <v>45773</v>
      </c>
      <c r="O99" s="849"/>
      <c r="P99" s="850" t="s">
        <v>46</v>
      </c>
      <c r="Q99" s="838"/>
      <c r="R99" s="862" t="s">
        <v>1516</v>
      </c>
      <c r="S99" s="838" t="s">
        <v>48</v>
      </c>
      <c r="T99" s="863">
        <v>45754</v>
      </c>
      <c r="U99" s="864" t="s">
        <v>1517</v>
      </c>
      <c r="V99" s="848" t="s">
        <v>541</v>
      </c>
      <c r="W99" s="865">
        <v>4.0406</v>
      </c>
      <c r="X99" s="866">
        <f t="shared" si="54"/>
        <v>4072.9248</v>
      </c>
      <c r="Y99" s="838" t="s">
        <v>1518</v>
      </c>
      <c r="Z99" s="838" t="s">
        <v>1147</v>
      </c>
      <c r="AA99" s="838" t="s">
        <v>53</v>
      </c>
      <c r="AB99" s="873" t="s">
        <v>54</v>
      </c>
      <c r="AC99" s="838"/>
      <c r="AD99" s="874">
        <v>1008</v>
      </c>
      <c r="AE99" s="874">
        <f t="shared" si="51"/>
        <v>0</v>
      </c>
      <c r="AF99" s="875"/>
      <c r="AG99" s="838" t="s">
        <v>55</v>
      </c>
      <c r="AH99" s="838"/>
      <c r="AI99" s="838">
        <f>I99*2</f>
        <v>2016</v>
      </c>
      <c r="AJ99" s="838"/>
      <c r="AK99" s="838"/>
      <c r="AL99" s="803">
        <f>I99</f>
        <v>1008</v>
      </c>
      <c r="AN99" s="838"/>
      <c r="AO99" s="838"/>
      <c r="AQ99" s="838">
        <f t="shared" si="55"/>
        <v>1008</v>
      </c>
      <c r="AR99" s="838"/>
      <c r="AS99" s="838"/>
      <c r="AT99" s="838"/>
      <c r="BL99" s="803">
        <f>I99</f>
        <v>1008</v>
      </c>
      <c r="BM99" s="803">
        <f>I99</f>
        <v>1008</v>
      </c>
      <c r="BO99" s="803">
        <f>I99</f>
        <v>1008</v>
      </c>
      <c r="BS99" s="888">
        <f t="shared" si="39"/>
        <v>2016</v>
      </c>
      <c r="BT99" s="889">
        <f t="shared" si="40"/>
        <v>2413964</v>
      </c>
      <c r="BU99" s="892"/>
      <c r="BV99" s="892"/>
      <c r="BW99" s="892"/>
      <c r="BX99" s="892"/>
      <c r="BY99" s="891">
        <f t="shared" si="37"/>
        <v>406036</v>
      </c>
      <c r="CA99" s="805">
        <f t="shared" si="41"/>
        <v>0</v>
      </c>
      <c r="CB99" s="888">
        <f t="shared" si="42"/>
        <v>48786.5714285714</v>
      </c>
      <c r="CC99" s="892"/>
      <c r="CD99" s="892"/>
      <c r="CE99" s="892"/>
      <c r="CF99" s="888">
        <f t="shared" si="38"/>
        <v>11213.4285714286</v>
      </c>
      <c r="CG99" s="892"/>
    </row>
    <row r="100" s="803" customFormat="1" ht="31" customHeight="1" spans="1:85">
      <c r="A100" s="834">
        <v>45737</v>
      </c>
      <c r="B100" s="835" t="s">
        <v>1519</v>
      </c>
      <c r="C100" s="839" t="s">
        <v>1374</v>
      </c>
      <c r="D100" s="837">
        <v>4500161136</v>
      </c>
      <c r="E100" s="835"/>
      <c r="F100" s="837" t="s">
        <v>1520</v>
      </c>
      <c r="G100" s="838" t="s">
        <v>1155</v>
      </c>
      <c r="H100" s="838" t="s">
        <v>1140</v>
      </c>
      <c r="I100" s="838">
        <v>800</v>
      </c>
      <c r="J100" s="838">
        <v>0</v>
      </c>
      <c r="K100" s="838">
        <v>50</v>
      </c>
      <c r="L100" s="847">
        <f t="shared" si="43"/>
        <v>16</v>
      </c>
      <c r="M100" s="848">
        <v>45770</v>
      </c>
      <c r="N100" s="848">
        <v>45766</v>
      </c>
      <c r="O100" s="849"/>
      <c r="P100" s="850" t="s">
        <v>46</v>
      </c>
      <c r="Q100" s="838"/>
      <c r="R100" s="862">
        <v>45737</v>
      </c>
      <c r="S100" s="838" t="s">
        <v>58</v>
      </c>
      <c r="T100" s="863" t="s">
        <v>58</v>
      </c>
      <c r="U100" s="864" t="s">
        <v>1521</v>
      </c>
      <c r="V100" s="848" t="s">
        <v>183</v>
      </c>
      <c r="W100" s="865">
        <v>1.9438</v>
      </c>
      <c r="X100" s="866">
        <f t="shared" si="54"/>
        <v>1555.04</v>
      </c>
      <c r="Y100" s="838" t="s">
        <v>1522</v>
      </c>
      <c r="Z100" s="838" t="s">
        <v>1155</v>
      </c>
      <c r="AA100" s="838" t="s">
        <v>53</v>
      </c>
      <c r="AB100" s="873" t="s">
        <v>54</v>
      </c>
      <c r="AC100" s="838"/>
      <c r="AD100" s="874">
        <v>800</v>
      </c>
      <c r="AE100" s="874">
        <f t="shared" si="51"/>
        <v>0</v>
      </c>
      <c r="AF100" s="875"/>
      <c r="AG100" s="838" t="s">
        <v>58</v>
      </c>
      <c r="AH100" s="838"/>
      <c r="AI100" s="838">
        <f t="shared" ref="AI100:AI105" si="56">I100</f>
        <v>800</v>
      </c>
      <c r="AJ100" s="838"/>
      <c r="AK100" s="838">
        <f>I100</f>
        <v>800</v>
      </c>
      <c r="AN100" s="838"/>
      <c r="AO100" s="838"/>
      <c r="AQ100" s="838">
        <f t="shared" si="55"/>
        <v>800</v>
      </c>
      <c r="AR100" s="838"/>
      <c r="AS100" s="838"/>
      <c r="AT100" s="838"/>
      <c r="BC100" s="803">
        <f>I100/25</f>
        <v>32</v>
      </c>
      <c r="BS100" s="888">
        <f t="shared" si="39"/>
        <v>800</v>
      </c>
      <c r="BT100" s="889">
        <f t="shared" si="40"/>
        <v>2414764</v>
      </c>
      <c r="BU100" s="892"/>
      <c r="BV100" s="892"/>
      <c r="BW100" s="892"/>
      <c r="BX100" s="892"/>
      <c r="BY100" s="891">
        <f t="shared" si="37"/>
        <v>405236</v>
      </c>
      <c r="CA100" s="805">
        <f t="shared" si="41"/>
        <v>32</v>
      </c>
      <c r="CB100" s="888">
        <f t="shared" si="42"/>
        <v>48818.5714285714</v>
      </c>
      <c r="CC100" s="892"/>
      <c r="CD100" s="892"/>
      <c r="CE100" s="892"/>
      <c r="CF100" s="888">
        <f t="shared" si="38"/>
        <v>11181.4285714286</v>
      </c>
      <c r="CG100" s="892"/>
    </row>
    <row r="101" s="803" customFormat="1" ht="31" customHeight="1" spans="1:85">
      <c r="A101" s="834">
        <v>45750</v>
      </c>
      <c r="B101" s="835" t="s">
        <v>812</v>
      </c>
      <c r="C101" s="839" t="s">
        <v>84</v>
      </c>
      <c r="D101" s="837">
        <v>4500162408</v>
      </c>
      <c r="E101" s="835" t="s">
        <v>1523</v>
      </c>
      <c r="F101" s="837" t="s">
        <v>1524</v>
      </c>
      <c r="G101" s="838" t="s">
        <v>1155</v>
      </c>
      <c r="H101" s="838" t="s">
        <v>1140</v>
      </c>
      <c r="I101" s="838">
        <v>1800</v>
      </c>
      <c r="J101" s="838">
        <v>0</v>
      </c>
      <c r="K101" s="838">
        <v>50</v>
      </c>
      <c r="L101" s="847">
        <f t="shared" si="43"/>
        <v>36</v>
      </c>
      <c r="M101" s="848">
        <v>45791</v>
      </c>
      <c r="N101" s="848">
        <v>45796</v>
      </c>
      <c r="O101" s="849"/>
      <c r="P101" s="850" t="s">
        <v>46</v>
      </c>
      <c r="Q101" s="838" t="s">
        <v>1525</v>
      </c>
      <c r="R101" s="862">
        <v>45761</v>
      </c>
      <c r="S101" s="838" t="s">
        <v>58</v>
      </c>
      <c r="T101" s="863" t="s">
        <v>58</v>
      </c>
      <c r="U101" s="864" t="s">
        <v>1184</v>
      </c>
      <c r="V101" s="848" t="s">
        <v>1526</v>
      </c>
      <c r="W101" s="865">
        <v>1.9605</v>
      </c>
      <c r="X101" s="866">
        <f t="shared" si="54"/>
        <v>3528.9</v>
      </c>
      <c r="Y101" s="838" t="s">
        <v>1527</v>
      </c>
      <c r="Z101" s="838" t="s">
        <v>1155</v>
      </c>
      <c r="AA101" s="838" t="s">
        <v>53</v>
      </c>
      <c r="AB101" s="873" t="s">
        <v>54</v>
      </c>
      <c r="AC101" s="838"/>
      <c r="AD101" s="874">
        <f>1750+50</f>
        <v>1800</v>
      </c>
      <c r="AE101" s="874">
        <f t="shared" si="51"/>
        <v>0</v>
      </c>
      <c r="AF101" s="875"/>
      <c r="AG101" s="838" t="s">
        <v>58</v>
      </c>
      <c r="AH101" s="838"/>
      <c r="AI101" s="838">
        <f t="shared" si="56"/>
        <v>1800</v>
      </c>
      <c r="AJ101" s="838"/>
      <c r="AK101" s="838">
        <f>I101</f>
        <v>1800</v>
      </c>
      <c r="AN101" s="838"/>
      <c r="AO101" s="838"/>
      <c r="AQ101" s="838">
        <f t="shared" si="55"/>
        <v>1800</v>
      </c>
      <c r="AR101" s="838"/>
      <c r="AS101" s="838"/>
      <c r="AT101" s="838"/>
      <c r="BC101" s="803">
        <f>I101/25</f>
        <v>72</v>
      </c>
      <c r="BS101" s="888">
        <f t="shared" si="39"/>
        <v>1800</v>
      </c>
      <c r="BT101" s="889">
        <f t="shared" si="40"/>
        <v>2416564</v>
      </c>
      <c r="BU101" s="892"/>
      <c r="BV101" s="892"/>
      <c r="BW101" s="892"/>
      <c r="BX101" s="892"/>
      <c r="BY101" s="891">
        <f t="shared" si="37"/>
        <v>403436</v>
      </c>
      <c r="CA101" s="805">
        <f t="shared" si="41"/>
        <v>72</v>
      </c>
      <c r="CB101" s="888">
        <f t="shared" si="42"/>
        <v>48890.5714285714</v>
      </c>
      <c r="CC101" s="892"/>
      <c r="CD101" s="892"/>
      <c r="CE101" s="892"/>
      <c r="CF101" s="888">
        <f t="shared" si="38"/>
        <v>11109.4285714286</v>
      </c>
      <c r="CG101" s="892"/>
    </row>
    <row r="102" s="803" customFormat="1" ht="31" customHeight="1" spans="1:85">
      <c r="A102" s="834">
        <v>45734</v>
      </c>
      <c r="B102" s="835" t="s">
        <v>747</v>
      </c>
      <c r="C102" s="839" t="s">
        <v>41</v>
      </c>
      <c r="D102" s="837">
        <v>4500160573</v>
      </c>
      <c r="E102" s="835">
        <v>5251215518</v>
      </c>
      <c r="F102" s="837" t="s">
        <v>1528</v>
      </c>
      <c r="G102" s="838" t="s">
        <v>1155</v>
      </c>
      <c r="H102" s="838" t="s">
        <v>1140</v>
      </c>
      <c r="I102" s="838">
        <v>16000</v>
      </c>
      <c r="J102" s="838">
        <v>0</v>
      </c>
      <c r="K102" s="838">
        <v>50</v>
      </c>
      <c r="L102" s="847">
        <f t="shared" si="43"/>
        <v>320</v>
      </c>
      <c r="M102" s="848">
        <v>45798</v>
      </c>
      <c r="N102" s="848">
        <v>45799</v>
      </c>
      <c r="O102" s="849" t="s">
        <v>1529</v>
      </c>
      <c r="P102" s="850" t="s">
        <v>46</v>
      </c>
      <c r="Q102" s="838"/>
      <c r="R102" s="862">
        <v>45768</v>
      </c>
      <c r="S102" s="838" t="s">
        <v>58</v>
      </c>
      <c r="T102" s="863">
        <v>45770</v>
      </c>
      <c r="U102" s="864" t="s">
        <v>1530</v>
      </c>
      <c r="V102" s="848" t="s">
        <v>79</v>
      </c>
      <c r="W102" s="865">
        <v>1.9375</v>
      </c>
      <c r="X102" s="866">
        <f t="shared" si="54"/>
        <v>31000</v>
      </c>
      <c r="Y102" s="838" t="s">
        <v>1531</v>
      </c>
      <c r="Z102" s="838" t="s">
        <v>1160</v>
      </c>
      <c r="AA102" s="838" t="s">
        <v>53</v>
      </c>
      <c r="AB102" s="873" t="s">
        <v>54</v>
      </c>
      <c r="AC102" s="838"/>
      <c r="AD102" s="874">
        <f>16000</f>
        <v>16000</v>
      </c>
      <c r="AE102" s="874">
        <f t="shared" si="51"/>
        <v>0</v>
      </c>
      <c r="AF102" s="875"/>
      <c r="AG102" s="838" t="s">
        <v>55</v>
      </c>
      <c r="AH102" s="838"/>
      <c r="AI102" s="838">
        <f t="shared" si="56"/>
        <v>16000</v>
      </c>
      <c r="AJ102" s="838"/>
      <c r="AK102" s="838"/>
      <c r="AN102" s="838">
        <f>I102</f>
        <v>16000</v>
      </c>
      <c r="AO102" s="838"/>
      <c r="AQ102" s="838">
        <f t="shared" si="55"/>
        <v>16000</v>
      </c>
      <c r="AR102" s="838"/>
      <c r="AS102" s="838"/>
      <c r="AT102" s="838"/>
      <c r="BD102" s="803">
        <f>I102/25</f>
        <v>640</v>
      </c>
      <c r="BS102" s="888">
        <f t="shared" si="39"/>
        <v>16000</v>
      </c>
      <c r="BT102" s="889">
        <f t="shared" si="40"/>
        <v>2432564</v>
      </c>
      <c r="BU102" s="892"/>
      <c r="BV102" s="892"/>
      <c r="BW102" s="892"/>
      <c r="BX102" s="892"/>
      <c r="BY102" s="891">
        <f t="shared" si="37"/>
        <v>387436</v>
      </c>
      <c r="CA102" s="805">
        <f t="shared" si="41"/>
        <v>640</v>
      </c>
      <c r="CB102" s="888">
        <f t="shared" si="42"/>
        <v>49530.5714285714</v>
      </c>
      <c r="CC102" s="892"/>
      <c r="CD102" s="892"/>
      <c r="CE102" s="892"/>
      <c r="CF102" s="888">
        <f t="shared" si="38"/>
        <v>10469.4285714286</v>
      </c>
      <c r="CG102" s="892"/>
    </row>
    <row r="103" s="803" customFormat="1" ht="31" customHeight="1" spans="1:85">
      <c r="A103" s="834">
        <v>45755</v>
      </c>
      <c r="B103" s="835" t="s">
        <v>873</v>
      </c>
      <c r="C103" s="839" t="s">
        <v>759</v>
      </c>
      <c r="D103" s="837">
        <v>4500162922</v>
      </c>
      <c r="E103" s="835">
        <v>4504192366</v>
      </c>
      <c r="F103" s="837" t="s">
        <v>1532</v>
      </c>
      <c r="G103" s="838" t="s">
        <v>1155</v>
      </c>
      <c r="H103" s="838" t="s">
        <v>1140</v>
      </c>
      <c r="I103" s="838">
        <v>1500</v>
      </c>
      <c r="J103" s="838">
        <v>0</v>
      </c>
      <c r="K103" s="838">
        <v>50</v>
      </c>
      <c r="L103" s="847">
        <f t="shared" si="43"/>
        <v>30</v>
      </c>
      <c r="M103" s="848">
        <v>45792</v>
      </c>
      <c r="N103" s="848">
        <v>45789</v>
      </c>
      <c r="O103" s="849" t="s">
        <v>1533</v>
      </c>
      <c r="P103" s="850" t="s">
        <v>46</v>
      </c>
      <c r="Q103" s="838"/>
      <c r="R103" s="862">
        <v>45762</v>
      </c>
      <c r="S103" s="838" t="s">
        <v>58</v>
      </c>
      <c r="T103" s="863">
        <v>45755</v>
      </c>
      <c r="U103" s="864" t="s">
        <v>1534</v>
      </c>
      <c r="V103" s="848" t="s">
        <v>653</v>
      </c>
      <c r="W103" s="865">
        <v>1.9438</v>
      </c>
      <c r="X103" s="866">
        <f t="shared" si="54"/>
        <v>2915.7</v>
      </c>
      <c r="Y103" s="838" t="s">
        <v>1535</v>
      </c>
      <c r="Z103" s="838" t="s">
        <v>1160</v>
      </c>
      <c r="AA103" s="838" t="s">
        <v>53</v>
      </c>
      <c r="AB103" s="873" t="s">
        <v>54</v>
      </c>
      <c r="AC103" s="838"/>
      <c r="AD103" s="874">
        <v>1500</v>
      </c>
      <c r="AE103" s="874">
        <f t="shared" si="51"/>
        <v>0</v>
      </c>
      <c r="AF103" s="875"/>
      <c r="AG103" s="838" t="s">
        <v>55</v>
      </c>
      <c r="AH103" s="838"/>
      <c r="AI103" s="838">
        <f t="shared" si="56"/>
        <v>1500</v>
      </c>
      <c r="AJ103" s="838"/>
      <c r="AK103" s="838"/>
      <c r="AN103" s="838">
        <f>I103</f>
        <v>1500</v>
      </c>
      <c r="AO103" s="838"/>
      <c r="AQ103" s="838">
        <f t="shared" si="55"/>
        <v>1500</v>
      </c>
      <c r="AR103" s="838"/>
      <c r="AS103" s="838"/>
      <c r="AT103" s="838"/>
      <c r="BD103" s="803">
        <f>I103/25</f>
        <v>60</v>
      </c>
      <c r="BS103" s="888">
        <f t="shared" si="39"/>
        <v>1500</v>
      </c>
      <c r="BT103" s="889">
        <f t="shared" si="40"/>
        <v>2434064</v>
      </c>
      <c r="BU103" s="892"/>
      <c r="BV103" s="892"/>
      <c r="BW103" s="892"/>
      <c r="BX103" s="892"/>
      <c r="BY103" s="891">
        <f t="shared" si="37"/>
        <v>385936</v>
      </c>
      <c r="CA103" s="805">
        <f t="shared" si="41"/>
        <v>60</v>
      </c>
      <c r="CB103" s="888">
        <f t="shared" si="42"/>
        <v>49590.5714285714</v>
      </c>
      <c r="CC103" s="892"/>
      <c r="CD103" s="892"/>
      <c r="CE103" s="892"/>
      <c r="CF103" s="888">
        <f t="shared" si="38"/>
        <v>10409.4285714286</v>
      </c>
      <c r="CG103" s="892"/>
    </row>
    <row r="104" s="803" customFormat="1" ht="31" customHeight="1" spans="1:85">
      <c r="A104" s="834">
        <v>45722</v>
      </c>
      <c r="B104" s="835" t="s">
        <v>349</v>
      </c>
      <c r="C104" s="839" t="s">
        <v>350</v>
      </c>
      <c r="D104" s="837">
        <v>4500159286</v>
      </c>
      <c r="E104" s="835"/>
      <c r="F104" s="837" t="s">
        <v>1536</v>
      </c>
      <c r="G104" s="838" t="s">
        <v>1155</v>
      </c>
      <c r="H104" s="838" t="s">
        <v>1140</v>
      </c>
      <c r="I104" s="838">
        <v>1000</v>
      </c>
      <c r="J104" s="838">
        <v>0</v>
      </c>
      <c r="K104" s="838">
        <v>50</v>
      </c>
      <c r="L104" s="847">
        <f t="shared" si="43"/>
        <v>20</v>
      </c>
      <c r="M104" s="848">
        <v>45800</v>
      </c>
      <c r="N104" s="848">
        <v>45796</v>
      </c>
      <c r="O104" s="849"/>
      <c r="P104" s="850" t="s">
        <v>46</v>
      </c>
      <c r="Q104" s="838"/>
      <c r="R104" s="862">
        <v>45757</v>
      </c>
      <c r="S104" s="838" t="s">
        <v>58</v>
      </c>
      <c r="T104" s="863">
        <v>45770</v>
      </c>
      <c r="U104" s="864" t="s">
        <v>1537</v>
      </c>
      <c r="V104" s="848" t="s">
        <v>437</v>
      </c>
      <c r="W104" s="865">
        <v>2.0019</v>
      </c>
      <c r="X104" s="866">
        <f t="shared" si="54"/>
        <v>2001.9</v>
      </c>
      <c r="Y104" s="838" t="s">
        <v>1538</v>
      </c>
      <c r="Z104" s="838" t="s">
        <v>1160</v>
      </c>
      <c r="AA104" s="838" t="s">
        <v>53</v>
      </c>
      <c r="AB104" s="873" t="s">
        <v>54</v>
      </c>
      <c r="AC104" s="838"/>
      <c r="AD104" s="874">
        <v>1000</v>
      </c>
      <c r="AE104" s="874">
        <f t="shared" si="51"/>
        <v>0</v>
      </c>
      <c r="AF104" s="875"/>
      <c r="AG104" s="838" t="s">
        <v>55</v>
      </c>
      <c r="AH104" s="838"/>
      <c r="AI104" s="838">
        <f t="shared" si="56"/>
        <v>1000</v>
      </c>
      <c r="AJ104" s="838"/>
      <c r="AK104" s="838"/>
      <c r="AN104" s="838">
        <f>I104</f>
        <v>1000</v>
      </c>
      <c r="AO104" s="838"/>
      <c r="AQ104" s="838">
        <f t="shared" si="55"/>
        <v>1000</v>
      </c>
      <c r="AR104" s="838"/>
      <c r="AS104" s="838"/>
      <c r="AT104" s="838"/>
      <c r="BD104" s="803">
        <f>I104/25</f>
        <v>40</v>
      </c>
      <c r="BS104" s="888">
        <f t="shared" si="39"/>
        <v>1000</v>
      </c>
      <c r="BT104" s="889">
        <f t="shared" si="40"/>
        <v>2435064</v>
      </c>
      <c r="BU104" s="892"/>
      <c r="BV104" s="892"/>
      <c r="BW104" s="892"/>
      <c r="BX104" s="892"/>
      <c r="BY104" s="891">
        <f t="shared" si="37"/>
        <v>384936</v>
      </c>
      <c r="CA104" s="805">
        <f t="shared" si="41"/>
        <v>40</v>
      </c>
      <c r="CB104" s="888">
        <f t="shared" si="42"/>
        <v>49630.5714285714</v>
      </c>
      <c r="CC104" s="892"/>
      <c r="CD104" s="892"/>
      <c r="CE104" s="892"/>
      <c r="CF104" s="888">
        <f t="shared" si="38"/>
        <v>10369.4285714286</v>
      </c>
      <c r="CG104" s="892"/>
    </row>
    <row r="105" s="803" customFormat="1" ht="31" hidden="1" customHeight="1" spans="1:85">
      <c r="A105" s="834">
        <v>45761</v>
      </c>
      <c r="B105" s="835" t="s">
        <v>1539</v>
      </c>
      <c r="C105" s="839" t="s">
        <v>179</v>
      </c>
      <c r="D105" s="837">
        <v>4500163667</v>
      </c>
      <c r="E105" s="835" t="s">
        <v>1540</v>
      </c>
      <c r="F105" s="837" t="s">
        <v>1541</v>
      </c>
      <c r="G105" s="838" t="s">
        <v>1139</v>
      </c>
      <c r="H105" s="838" t="s">
        <v>1140</v>
      </c>
      <c r="I105" s="838">
        <v>1300</v>
      </c>
      <c r="J105" s="838">
        <v>0</v>
      </c>
      <c r="K105" s="838">
        <v>52</v>
      </c>
      <c r="L105" s="847">
        <f t="shared" si="43"/>
        <v>25</v>
      </c>
      <c r="M105" s="848">
        <v>45803</v>
      </c>
      <c r="N105" s="848">
        <v>45799</v>
      </c>
      <c r="O105" s="849"/>
      <c r="P105" s="850" t="s">
        <v>46</v>
      </c>
      <c r="Q105" s="838"/>
      <c r="R105" s="862">
        <v>45761</v>
      </c>
      <c r="S105" s="838" t="s">
        <v>58</v>
      </c>
      <c r="T105" s="863">
        <v>45775</v>
      </c>
      <c r="U105" s="864" t="s">
        <v>1542</v>
      </c>
      <c r="V105" s="848" t="s">
        <v>183</v>
      </c>
      <c r="W105" s="865">
        <v>1.8753</v>
      </c>
      <c r="X105" s="866">
        <f t="shared" si="54"/>
        <v>2437.89</v>
      </c>
      <c r="Y105" s="838" t="s">
        <v>1543</v>
      </c>
      <c r="Z105" s="838" t="s">
        <v>1139</v>
      </c>
      <c r="AA105" s="838" t="s">
        <v>53</v>
      </c>
      <c r="AB105" s="873" t="s">
        <v>54</v>
      </c>
      <c r="AC105" s="838"/>
      <c r="AD105" s="874">
        <v>1300</v>
      </c>
      <c r="AE105" s="874">
        <f t="shared" si="51"/>
        <v>0</v>
      </c>
      <c r="AF105" s="875"/>
      <c r="AG105" s="838" t="s">
        <v>55</v>
      </c>
      <c r="AH105" s="838"/>
      <c r="AI105" s="838">
        <f t="shared" si="56"/>
        <v>1300</v>
      </c>
      <c r="AJ105" s="838"/>
      <c r="AK105" s="838">
        <f>I105</f>
        <v>1300</v>
      </c>
      <c r="AN105" s="838"/>
      <c r="AO105" s="838"/>
      <c r="AQ105" s="838">
        <f t="shared" si="55"/>
        <v>1300</v>
      </c>
      <c r="AR105" s="838"/>
      <c r="AS105" s="838"/>
      <c r="AT105" s="838"/>
      <c r="BA105" s="803">
        <f>I105/13</f>
        <v>100</v>
      </c>
      <c r="BS105" s="888">
        <f t="shared" si="39"/>
        <v>1300</v>
      </c>
      <c r="BT105" s="889">
        <f t="shared" si="40"/>
        <v>2436364</v>
      </c>
      <c r="BU105" s="892"/>
      <c r="BV105" s="892"/>
      <c r="BW105" s="892"/>
      <c r="BX105" s="892"/>
      <c r="BY105" s="891">
        <f t="shared" si="37"/>
        <v>383636</v>
      </c>
      <c r="CA105" s="805">
        <f t="shared" si="41"/>
        <v>0</v>
      </c>
      <c r="CB105" s="888">
        <f t="shared" si="42"/>
        <v>49630.5714285714</v>
      </c>
      <c r="CC105" s="892"/>
      <c r="CD105" s="892"/>
      <c r="CE105" s="892"/>
      <c r="CF105" s="888">
        <f t="shared" si="38"/>
        <v>10369.4285714286</v>
      </c>
      <c r="CG105" s="892"/>
    </row>
    <row r="106" s="803" customFormat="1" ht="31" hidden="1" customHeight="1" spans="1:85">
      <c r="A106" s="834">
        <v>45763</v>
      </c>
      <c r="B106" s="835" t="s">
        <v>1544</v>
      </c>
      <c r="C106" s="839" t="s">
        <v>716</v>
      </c>
      <c r="D106" s="837">
        <v>4500163897</v>
      </c>
      <c r="E106" s="835" t="s">
        <v>1545</v>
      </c>
      <c r="F106" s="837" t="s">
        <v>1546</v>
      </c>
      <c r="G106" s="838" t="s">
        <v>1147</v>
      </c>
      <c r="H106" s="838" t="s">
        <v>1148</v>
      </c>
      <c r="I106" s="838">
        <v>12</v>
      </c>
      <c r="J106" s="838">
        <v>0</v>
      </c>
      <c r="K106" s="838">
        <v>12</v>
      </c>
      <c r="L106" s="847">
        <f t="shared" si="43"/>
        <v>1</v>
      </c>
      <c r="M106" s="848">
        <v>45803</v>
      </c>
      <c r="N106" s="848">
        <v>45799</v>
      </c>
      <c r="O106" s="849"/>
      <c r="P106" s="850" t="s">
        <v>46</v>
      </c>
      <c r="Q106" s="838"/>
      <c r="R106" s="862">
        <v>45763</v>
      </c>
      <c r="S106" s="838" t="s">
        <v>48</v>
      </c>
      <c r="T106" s="863">
        <v>45785</v>
      </c>
      <c r="U106" s="864" t="s">
        <v>1547</v>
      </c>
      <c r="V106" s="848" t="s">
        <v>89</v>
      </c>
      <c r="W106" s="865">
        <v>4.0406</v>
      </c>
      <c r="X106" s="866">
        <f t="shared" si="54"/>
        <v>48.4872</v>
      </c>
      <c r="Y106" s="838" t="s">
        <v>1548</v>
      </c>
      <c r="Z106" s="838" t="s">
        <v>1549</v>
      </c>
      <c r="AA106" s="838" t="s">
        <v>53</v>
      </c>
      <c r="AB106" s="873" t="s">
        <v>54</v>
      </c>
      <c r="AC106" s="838"/>
      <c r="AD106" s="874">
        <v>12</v>
      </c>
      <c r="AE106" s="874">
        <f t="shared" si="51"/>
        <v>0</v>
      </c>
      <c r="AF106" s="875"/>
      <c r="AG106" s="838" t="s">
        <v>55</v>
      </c>
      <c r="AH106" s="838"/>
      <c r="AI106" s="838">
        <f>I106*2</f>
        <v>24</v>
      </c>
      <c r="AJ106" s="838"/>
      <c r="AK106" s="838"/>
      <c r="AN106" s="838">
        <f>I106*2</f>
        <v>24</v>
      </c>
      <c r="AO106" s="838"/>
      <c r="AQ106" s="838">
        <f>I106*2</f>
        <v>24</v>
      </c>
      <c r="AR106" s="838"/>
      <c r="AS106" s="838"/>
      <c r="AT106" s="838"/>
      <c r="BL106" s="803">
        <f>I106</f>
        <v>12</v>
      </c>
      <c r="BM106" s="803">
        <f>I106</f>
        <v>12</v>
      </c>
      <c r="BO106" s="803">
        <f>I106</f>
        <v>12</v>
      </c>
      <c r="BS106" s="888">
        <f t="shared" si="39"/>
        <v>24</v>
      </c>
      <c r="BT106" s="889">
        <f t="shared" si="40"/>
        <v>2436388</v>
      </c>
      <c r="BU106" s="892"/>
      <c r="BV106" s="892"/>
      <c r="BW106" s="892"/>
      <c r="BX106" s="892"/>
      <c r="BY106" s="891">
        <f t="shared" si="37"/>
        <v>383612</v>
      </c>
      <c r="CA106" s="805">
        <f t="shared" si="41"/>
        <v>0</v>
      </c>
      <c r="CB106" s="888">
        <f t="shared" si="42"/>
        <v>49630.5714285714</v>
      </c>
      <c r="CC106" s="892"/>
      <c r="CD106" s="892"/>
      <c r="CE106" s="892"/>
      <c r="CF106" s="888">
        <f t="shared" si="38"/>
        <v>10369.4285714286</v>
      </c>
      <c r="CG106" s="892"/>
    </row>
    <row r="107" s="803" customFormat="1" ht="31" hidden="1" customHeight="1" spans="1:85">
      <c r="A107" s="834">
        <v>45763</v>
      </c>
      <c r="B107" s="835" t="s">
        <v>1544</v>
      </c>
      <c r="C107" s="839" t="s">
        <v>716</v>
      </c>
      <c r="D107" s="837">
        <v>4500163897</v>
      </c>
      <c r="E107" s="835" t="s">
        <v>1550</v>
      </c>
      <c r="F107" s="837" t="s">
        <v>1551</v>
      </c>
      <c r="G107" s="838" t="s">
        <v>1147</v>
      </c>
      <c r="H107" s="838" t="s">
        <v>1148</v>
      </c>
      <c r="I107" s="838">
        <v>12</v>
      </c>
      <c r="J107" s="838">
        <v>0</v>
      </c>
      <c r="K107" s="838">
        <v>12</v>
      </c>
      <c r="L107" s="847">
        <f t="shared" si="43"/>
        <v>1</v>
      </c>
      <c r="M107" s="848">
        <v>45803</v>
      </c>
      <c r="N107" s="848">
        <v>45799</v>
      </c>
      <c r="O107" s="849"/>
      <c r="P107" s="850" t="s">
        <v>46</v>
      </c>
      <c r="Q107" s="838"/>
      <c r="R107" s="862">
        <v>45763</v>
      </c>
      <c r="S107" s="838" t="s">
        <v>48</v>
      </c>
      <c r="T107" s="863">
        <v>45785</v>
      </c>
      <c r="U107" s="864" t="s">
        <v>1547</v>
      </c>
      <c r="V107" s="848" t="s">
        <v>89</v>
      </c>
      <c r="W107" s="865">
        <v>4.0406</v>
      </c>
      <c r="X107" s="866">
        <f t="shared" si="54"/>
        <v>48.4872</v>
      </c>
      <c r="Y107" s="838" t="s">
        <v>1548</v>
      </c>
      <c r="Z107" s="838" t="s">
        <v>1549</v>
      </c>
      <c r="AA107" s="838" t="s">
        <v>53</v>
      </c>
      <c r="AB107" s="873" t="s">
        <v>54</v>
      </c>
      <c r="AC107" s="838"/>
      <c r="AD107" s="874">
        <v>12</v>
      </c>
      <c r="AE107" s="874">
        <f t="shared" si="51"/>
        <v>0</v>
      </c>
      <c r="AF107" s="875"/>
      <c r="AG107" s="838" t="s">
        <v>55</v>
      </c>
      <c r="AH107" s="838"/>
      <c r="AI107" s="838">
        <f>I107*2</f>
        <v>24</v>
      </c>
      <c r="AJ107" s="838"/>
      <c r="AK107" s="838"/>
      <c r="AN107" s="838">
        <f>I107*2</f>
        <v>24</v>
      </c>
      <c r="AO107" s="838"/>
      <c r="AQ107" s="838">
        <f>I107*2</f>
        <v>24</v>
      </c>
      <c r="AR107" s="838"/>
      <c r="AS107" s="838"/>
      <c r="AT107" s="838"/>
      <c r="BL107" s="803">
        <f>I107</f>
        <v>12</v>
      </c>
      <c r="BM107" s="803">
        <f>I107</f>
        <v>12</v>
      </c>
      <c r="BO107" s="803">
        <f>I107</f>
        <v>12</v>
      </c>
      <c r="BS107" s="888">
        <f t="shared" si="39"/>
        <v>24</v>
      </c>
      <c r="BT107" s="889">
        <f t="shared" si="40"/>
        <v>2436412</v>
      </c>
      <c r="BU107" s="892"/>
      <c r="BV107" s="892"/>
      <c r="BW107" s="892"/>
      <c r="BX107" s="892"/>
      <c r="BY107" s="891">
        <f t="shared" si="37"/>
        <v>383588</v>
      </c>
      <c r="CA107" s="805">
        <f t="shared" si="41"/>
        <v>0</v>
      </c>
      <c r="CB107" s="888">
        <f t="shared" si="42"/>
        <v>49630.5714285714</v>
      </c>
      <c r="CC107" s="892"/>
      <c r="CD107" s="892"/>
      <c r="CE107" s="892"/>
      <c r="CF107" s="888">
        <f t="shared" si="38"/>
        <v>10369.4285714286</v>
      </c>
      <c r="CG107" s="892"/>
    </row>
    <row r="108" s="803" customFormat="1" ht="31" customHeight="1" spans="1:85">
      <c r="A108" s="834">
        <v>45756</v>
      </c>
      <c r="B108" s="835" t="s">
        <v>1552</v>
      </c>
      <c r="C108" s="839" t="s">
        <v>1553</v>
      </c>
      <c r="D108" s="837">
        <v>4500163069</v>
      </c>
      <c r="E108" s="835"/>
      <c r="F108" s="837" t="s">
        <v>1554</v>
      </c>
      <c r="G108" s="838" t="s">
        <v>1155</v>
      </c>
      <c r="H108" s="838" t="s">
        <v>1140</v>
      </c>
      <c r="I108" s="838">
        <v>500</v>
      </c>
      <c r="J108" s="838">
        <v>0</v>
      </c>
      <c r="K108" s="838">
        <v>50</v>
      </c>
      <c r="L108" s="847">
        <f t="shared" si="43"/>
        <v>10</v>
      </c>
      <c r="M108" s="848">
        <v>45807</v>
      </c>
      <c r="N108" s="848">
        <v>45803</v>
      </c>
      <c r="O108" s="849"/>
      <c r="P108" s="850" t="s">
        <v>46</v>
      </c>
      <c r="Q108" s="838"/>
      <c r="R108" s="862">
        <v>45758</v>
      </c>
      <c r="S108" s="838" t="s">
        <v>58</v>
      </c>
      <c r="T108" s="863" t="s">
        <v>58</v>
      </c>
      <c r="U108" s="864" t="s">
        <v>1555</v>
      </c>
      <c r="V108" s="848" t="s">
        <v>183</v>
      </c>
      <c r="W108" s="865">
        <v>1.9605</v>
      </c>
      <c r="X108" s="866">
        <f t="shared" si="54"/>
        <v>980.25</v>
      </c>
      <c r="Y108" s="838" t="s">
        <v>1556</v>
      </c>
      <c r="Z108" s="838" t="s">
        <v>1155</v>
      </c>
      <c r="AA108" s="838" t="s">
        <v>53</v>
      </c>
      <c r="AB108" s="873" t="s">
        <v>54</v>
      </c>
      <c r="AC108" s="838"/>
      <c r="AD108" s="874">
        <v>500</v>
      </c>
      <c r="AE108" s="874">
        <f t="shared" si="51"/>
        <v>0</v>
      </c>
      <c r="AF108" s="875"/>
      <c r="AG108" s="838" t="s">
        <v>58</v>
      </c>
      <c r="AH108" s="838"/>
      <c r="AI108" s="838">
        <f>I108</f>
        <v>500</v>
      </c>
      <c r="AJ108" s="838"/>
      <c r="AK108" s="838">
        <f>I108</f>
        <v>500</v>
      </c>
      <c r="AN108" s="838"/>
      <c r="AO108" s="838"/>
      <c r="AQ108" s="838">
        <f>I108</f>
        <v>500</v>
      </c>
      <c r="AR108" s="838"/>
      <c r="AS108" s="838"/>
      <c r="AT108" s="838"/>
      <c r="BC108" s="803">
        <f>I108/25</f>
        <v>20</v>
      </c>
      <c r="BS108" s="888">
        <f t="shared" si="39"/>
        <v>500</v>
      </c>
      <c r="BT108" s="889">
        <f t="shared" si="40"/>
        <v>2436912</v>
      </c>
      <c r="BU108" s="892"/>
      <c r="BV108" s="892"/>
      <c r="BW108" s="892"/>
      <c r="BX108" s="892"/>
      <c r="BY108" s="891">
        <f t="shared" si="37"/>
        <v>383088</v>
      </c>
      <c r="CA108" s="805">
        <f t="shared" si="41"/>
        <v>20</v>
      </c>
      <c r="CB108" s="888">
        <f t="shared" si="42"/>
        <v>49650.5714285714</v>
      </c>
      <c r="CC108" s="892"/>
      <c r="CD108" s="892"/>
      <c r="CE108" s="892"/>
      <c r="CF108" s="888">
        <f t="shared" si="38"/>
        <v>10349.4285714286</v>
      </c>
      <c r="CG108" s="892"/>
    </row>
    <row r="109" s="803" customFormat="1" ht="31" hidden="1" customHeight="1" spans="1:85">
      <c r="A109" s="834">
        <v>45756</v>
      </c>
      <c r="B109" s="835" t="s">
        <v>1507</v>
      </c>
      <c r="C109" s="839" t="s">
        <v>1508</v>
      </c>
      <c r="D109" s="837">
        <v>4500162852</v>
      </c>
      <c r="E109" s="835" t="s">
        <v>1557</v>
      </c>
      <c r="F109" s="837" t="s">
        <v>1558</v>
      </c>
      <c r="G109" s="838" t="s">
        <v>1139</v>
      </c>
      <c r="H109" s="838" t="s">
        <v>1140</v>
      </c>
      <c r="I109" s="838">
        <v>208</v>
      </c>
      <c r="J109" s="838">
        <v>0</v>
      </c>
      <c r="K109" s="838">
        <v>52</v>
      </c>
      <c r="L109" s="847">
        <f t="shared" si="43"/>
        <v>4</v>
      </c>
      <c r="M109" s="848">
        <v>45812</v>
      </c>
      <c r="N109" s="848">
        <f>M109-4</f>
        <v>45808</v>
      </c>
      <c r="O109" s="849"/>
      <c r="P109" s="850" t="s">
        <v>46</v>
      </c>
      <c r="Q109" s="838" t="s">
        <v>1559</v>
      </c>
      <c r="R109" s="862">
        <v>45756</v>
      </c>
      <c r="S109" s="838" t="s">
        <v>58</v>
      </c>
      <c r="T109" s="863">
        <v>45784</v>
      </c>
      <c r="U109" s="864" t="s">
        <v>1560</v>
      </c>
      <c r="V109" s="848" t="s">
        <v>1561</v>
      </c>
      <c r="W109" s="865">
        <v>1.8478</v>
      </c>
      <c r="X109" s="866">
        <f t="shared" si="54"/>
        <v>384.3424</v>
      </c>
      <c r="Y109" s="838" t="s">
        <v>1562</v>
      </c>
      <c r="Z109" s="838" t="s">
        <v>1139</v>
      </c>
      <c r="AA109" s="838" t="s">
        <v>53</v>
      </c>
      <c r="AB109" s="873" t="s">
        <v>54</v>
      </c>
      <c r="AC109" s="838"/>
      <c r="AD109" s="874">
        <v>208</v>
      </c>
      <c r="AE109" s="874">
        <f t="shared" si="51"/>
        <v>0</v>
      </c>
      <c r="AF109" s="875"/>
      <c r="AG109" s="838" t="s">
        <v>55</v>
      </c>
      <c r="AH109" s="838"/>
      <c r="AI109" s="838">
        <f>I109</f>
        <v>208</v>
      </c>
      <c r="AJ109" s="838"/>
      <c r="AK109" s="838">
        <f>I109</f>
        <v>208</v>
      </c>
      <c r="AN109" s="838"/>
      <c r="AO109" s="838"/>
      <c r="AQ109" s="838">
        <f>I109</f>
        <v>208</v>
      </c>
      <c r="AR109" s="838"/>
      <c r="AS109" s="838"/>
      <c r="AT109" s="838"/>
      <c r="BA109" s="803">
        <f>I109/13</f>
        <v>16</v>
      </c>
      <c r="BS109" s="888">
        <f t="shared" si="39"/>
        <v>208</v>
      </c>
      <c r="BT109" s="889">
        <f t="shared" si="40"/>
        <v>2437120</v>
      </c>
      <c r="BU109" s="892"/>
      <c r="BV109" s="892"/>
      <c r="BW109" s="892"/>
      <c r="BX109" s="892"/>
      <c r="BY109" s="891">
        <f t="shared" si="37"/>
        <v>382880</v>
      </c>
      <c r="CA109" s="805">
        <f t="shared" si="41"/>
        <v>0</v>
      </c>
      <c r="CB109" s="888">
        <f t="shared" si="42"/>
        <v>49650.5714285714</v>
      </c>
      <c r="CC109" s="892"/>
      <c r="CD109" s="892"/>
      <c r="CE109" s="892"/>
      <c r="CF109" s="888">
        <f t="shared" si="38"/>
        <v>10349.4285714286</v>
      </c>
      <c r="CG109" s="892"/>
    </row>
    <row r="110" s="803" customFormat="1" ht="31" hidden="1" customHeight="1" spans="1:85">
      <c r="A110" s="834">
        <v>45756</v>
      </c>
      <c r="B110" s="835" t="s">
        <v>40</v>
      </c>
      <c r="C110" s="839" t="s">
        <v>41</v>
      </c>
      <c r="D110" s="837">
        <v>4500163057</v>
      </c>
      <c r="E110" s="835" t="s">
        <v>75</v>
      </c>
      <c r="F110" s="837" t="s">
        <v>1563</v>
      </c>
      <c r="G110" s="838" t="s">
        <v>1147</v>
      </c>
      <c r="H110" s="838" t="s">
        <v>1148</v>
      </c>
      <c r="I110" s="838">
        <v>120</v>
      </c>
      <c r="J110" s="838">
        <v>0</v>
      </c>
      <c r="K110" s="838">
        <v>12</v>
      </c>
      <c r="L110" s="847">
        <f t="shared" si="43"/>
        <v>10</v>
      </c>
      <c r="M110" s="848">
        <v>45812</v>
      </c>
      <c r="N110" s="848">
        <f>M110-4</f>
        <v>45808</v>
      </c>
      <c r="O110" s="849" t="s">
        <v>1564</v>
      </c>
      <c r="P110" s="850" t="s">
        <v>46</v>
      </c>
      <c r="Q110" s="838" t="s">
        <v>1565</v>
      </c>
      <c r="R110" s="862" t="s">
        <v>1566</v>
      </c>
      <c r="S110" s="838" t="s">
        <v>48</v>
      </c>
      <c r="T110" s="863">
        <v>45798</v>
      </c>
      <c r="U110" s="864" t="s">
        <v>1567</v>
      </c>
      <c r="V110" s="848" t="s">
        <v>79</v>
      </c>
      <c r="W110" s="865">
        <v>4.1214</v>
      </c>
      <c r="X110" s="866">
        <f t="shared" si="54"/>
        <v>494.568</v>
      </c>
      <c r="Y110" s="838" t="s">
        <v>80</v>
      </c>
      <c r="Z110" s="838" t="s">
        <v>1549</v>
      </c>
      <c r="AA110" s="838" t="s">
        <v>53</v>
      </c>
      <c r="AB110" s="873" t="s">
        <v>54</v>
      </c>
      <c r="AC110" s="838"/>
      <c r="AD110" s="874">
        <v>120</v>
      </c>
      <c r="AE110" s="874">
        <f t="shared" si="51"/>
        <v>0</v>
      </c>
      <c r="AF110" s="875"/>
      <c r="AG110" s="838" t="s">
        <v>55</v>
      </c>
      <c r="AH110" s="838"/>
      <c r="AI110" s="838">
        <f>I110*2</f>
        <v>240</v>
      </c>
      <c r="AJ110" s="838"/>
      <c r="AK110" s="838"/>
      <c r="AN110" s="838">
        <f>I110*2</f>
        <v>240</v>
      </c>
      <c r="AO110" s="838"/>
      <c r="AQ110" s="838">
        <f>I110*2</f>
        <v>240</v>
      </c>
      <c r="AR110" s="838"/>
      <c r="AS110" s="838"/>
      <c r="AT110" s="838"/>
      <c r="BL110" s="803">
        <f>I110</f>
        <v>120</v>
      </c>
      <c r="BM110" s="803">
        <f>I110</f>
        <v>120</v>
      </c>
      <c r="BO110" s="803">
        <f>I110</f>
        <v>120</v>
      </c>
      <c r="BS110" s="888">
        <f t="shared" si="39"/>
        <v>240</v>
      </c>
      <c r="BT110" s="889">
        <f t="shared" si="40"/>
        <v>2437360</v>
      </c>
      <c r="BU110" s="892"/>
      <c r="BV110" s="892"/>
      <c r="BW110" s="892"/>
      <c r="BX110" s="892"/>
      <c r="BY110" s="891">
        <f t="shared" si="37"/>
        <v>382640</v>
      </c>
      <c r="CA110" s="805">
        <f t="shared" si="41"/>
        <v>0</v>
      </c>
      <c r="CB110" s="888">
        <f t="shared" si="42"/>
        <v>49650.5714285714</v>
      </c>
      <c r="CC110" s="892"/>
      <c r="CD110" s="892"/>
      <c r="CE110" s="892"/>
      <c r="CF110" s="888">
        <f t="shared" si="38"/>
        <v>10349.4285714286</v>
      </c>
      <c r="CG110" s="892"/>
    </row>
    <row r="111" s="803" customFormat="1" ht="31" hidden="1" customHeight="1" spans="1:85">
      <c r="A111" s="834">
        <v>45756</v>
      </c>
      <c r="B111" s="835" t="s">
        <v>40</v>
      </c>
      <c r="C111" s="839" t="s">
        <v>41</v>
      </c>
      <c r="D111" s="837">
        <v>4500163057</v>
      </c>
      <c r="E111" s="835" t="s">
        <v>81</v>
      </c>
      <c r="F111" s="837" t="s">
        <v>1568</v>
      </c>
      <c r="G111" s="838" t="s">
        <v>1147</v>
      </c>
      <c r="H111" s="838" t="s">
        <v>1148</v>
      </c>
      <c r="I111" s="838">
        <v>24</v>
      </c>
      <c r="J111" s="838">
        <v>0</v>
      </c>
      <c r="K111" s="838">
        <v>12</v>
      </c>
      <c r="L111" s="847">
        <f t="shared" si="43"/>
        <v>2</v>
      </c>
      <c r="M111" s="848">
        <v>45812</v>
      </c>
      <c r="N111" s="848">
        <f>M111-4</f>
        <v>45808</v>
      </c>
      <c r="O111" s="849" t="s">
        <v>1564</v>
      </c>
      <c r="P111" s="850" t="s">
        <v>46</v>
      </c>
      <c r="Q111" s="838" t="s">
        <v>1565</v>
      </c>
      <c r="R111" s="862" t="s">
        <v>1566</v>
      </c>
      <c r="S111" s="838" t="s">
        <v>48</v>
      </c>
      <c r="T111" s="863">
        <v>45798</v>
      </c>
      <c r="U111" s="864" t="s">
        <v>1567</v>
      </c>
      <c r="V111" s="848" t="s">
        <v>79</v>
      </c>
      <c r="W111" s="865">
        <v>4.1214</v>
      </c>
      <c r="X111" s="866">
        <f t="shared" si="54"/>
        <v>98.9136</v>
      </c>
      <c r="Y111" s="838" t="s">
        <v>80</v>
      </c>
      <c r="Z111" s="838" t="s">
        <v>1549</v>
      </c>
      <c r="AA111" s="838" t="s">
        <v>53</v>
      </c>
      <c r="AB111" s="873" t="s">
        <v>54</v>
      </c>
      <c r="AC111" s="838"/>
      <c r="AD111" s="874">
        <v>24</v>
      </c>
      <c r="AE111" s="874">
        <f t="shared" si="51"/>
        <v>0</v>
      </c>
      <c r="AF111" s="875"/>
      <c r="AG111" s="838" t="s">
        <v>55</v>
      </c>
      <c r="AH111" s="838"/>
      <c r="AI111" s="838">
        <f>I111*2</f>
        <v>48</v>
      </c>
      <c r="AJ111" s="838"/>
      <c r="AK111" s="838"/>
      <c r="AN111" s="838">
        <f>I111*2</f>
        <v>48</v>
      </c>
      <c r="AO111" s="838"/>
      <c r="AQ111" s="838">
        <f>I111*2</f>
        <v>48</v>
      </c>
      <c r="AR111" s="838"/>
      <c r="AS111" s="838"/>
      <c r="AT111" s="838"/>
      <c r="BL111" s="803">
        <f>I111</f>
        <v>24</v>
      </c>
      <c r="BM111" s="803">
        <f>I111</f>
        <v>24</v>
      </c>
      <c r="BO111" s="803">
        <f>I111</f>
        <v>24</v>
      </c>
      <c r="BS111" s="888">
        <f t="shared" si="39"/>
        <v>48</v>
      </c>
      <c r="BT111" s="889">
        <f t="shared" si="40"/>
        <v>2437408</v>
      </c>
      <c r="BU111" s="892"/>
      <c r="BV111" s="892"/>
      <c r="BW111" s="892"/>
      <c r="BX111" s="892"/>
      <c r="BY111" s="891">
        <f t="shared" si="37"/>
        <v>382592</v>
      </c>
      <c r="CA111" s="805">
        <f t="shared" si="41"/>
        <v>0</v>
      </c>
      <c r="CB111" s="888">
        <f t="shared" si="42"/>
        <v>49650.5714285714</v>
      </c>
      <c r="CC111" s="892"/>
      <c r="CD111" s="892"/>
      <c r="CE111" s="892"/>
      <c r="CF111" s="888">
        <f t="shared" si="38"/>
        <v>10349.4285714286</v>
      </c>
      <c r="CG111" s="892"/>
    </row>
    <row r="112" s="803" customFormat="1" ht="31" customHeight="1" spans="1:85">
      <c r="A112" s="834">
        <v>45771</v>
      </c>
      <c r="B112" s="835" t="s">
        <v>775</v>
      </c>
      <c r="C112" s="839" t="s">
        <v>41</v>
      </c>
      <c r="D112" s="837">
        <v>4500164861</v>
      </c>
      <c r="E112" s="835">
        <v>50212500921</v>
      </c>
      <c r="F112" s="837" t="s">
        <v>1569</v>
      </c>
      <c r="G112" s="838" t="s">
        <v>1155</v>
      </c>
      <c r="H112" s="838" t="s">
        <v>1140</v>
      </c>
      <c r="I112" s="838">
        <v>2900</v>
      </c>
      <c r="J112" s="838">
        <v>0</v>
      </c>
      <c r="K112" s="838">
        <v>50</v>
      </c>
      <c r="L112" s="847">
        <f t="shared" si="43"/>
        <v>58</v>
      </c>
      <c r="M112" s="848">
        <v>45813</v>
      </c>
      <c r="N112" s="848">
        <v>45810</v>
      </c>
      <c r="O112" s="849" t="s">
        <v>1428</v>
      </c>
      <c r="P112" s="850" t="s">
        <v>46</v>
      </c>
      <c r="Q112" s="838"/>
      <c r="R112" s="862">
        <v>45792</v>
      </c>
      <c r="S112" s="838" t="s">
        <v>58</v>
      </c>
      <c r="T112" s="863" t="s">
        <v>1570</v>
      </c>
      <c r="U112" s="864" t="s">
        <v>1571</v>
      </c>
      <c r="V112" s="848" t="s">
        <v>653</v>
      </c>
      <c r="W112" s="865">
        <v>1.9605</v>
      </c>
      <c r="X112" s="866">
        <f t="shared" si="54"/>
        <v>5685.45</v>
      </c>
      <c r="Y112" s="838" t="s">
        <v>1572</v>
      </c>
      <c r="Z112" s="838" t="s">
        <v>1160</v>
      </c>
      <c r="AA112" s="838" t="s">
        <v>53</v>
      </c>
      <c r="AB112" s="873" t="s">
        <v>54</v>
      </c>
      <c r="AC112" s="838"/>
      <c r="AD112" s="874">
        <v>2900</v>
      </c>
      <c r="AE112" s="874">
        <f t="shared" si="51"/>
        <v>0</v>
      </c>
      <c r="AF112" s="875"/>
      <c r="AG112" s="838" t="s">
        <v>55</v>
      </c>
      <c r="AH112" s="838"/>
      <c r="AI112" s="838">
        <f t="shared" ref="AI112:AI126" si="57">I112</f>
        <v>2900</v>
      </c>
      <c r="AJ112" s="838"/>
      <c r="AK112" s="838"/>
      <c r="AN112" s="838">
        <f>I112</f>
        <v>2900</v>
      </c>
      <c r="AO112" s="838"/>
      <c r="AQ112" s="838">
        <f>I112</f>
        <v>2900</v>
      </c>
      <c r="AR112" s="838"/>
      <c r="AS112" s="838"/>
      <c r="AT112" s="838"/>
      <c r="BD112" s="803">
        <f>I112/25</f>
        <v>116</v>
      </c>
      <c r="BS112" s="888">
        <f t="shared" si="39"/>
        <v>2900</v>
      </c>
      <c r="BT112" s="889">
        <f t="shared" si="40"/>
        <v>2440308</v>
      </c>
      <c r="BU112" s="892"/>
      <c r="BV112" s="892"/>
      <c r="BW112" s="892"/>
      <c r="BX112" s="892"/>
      <c r="BY112" s="891">
        <f t="shared" si="37"/>
        <v>379692</v>
      </c>
      <c r="CA112" s="805">
        <f t="shared" si="41"/>
        <v>116</v>
      </c>
      <c r="CB112" s="888">
        <f t="shared" si="42"/>
        <v>49766.5714285714</v>
      </c>
      <c r="CC112" s="892"/>
      <c r="CD112" s="892"/>
      <c r="CE112" s="892"/>
      <c r="CF112" s="888">
        <f t="shared" si="38"/>
        <v>10233.4285714286</v>
      </c>
      <c r="CG112" s="892"/>
    </row>
    <row r="113" s="803" customFormat="1" ht="31" hidden="1" customHeight="1" spans="1:85">
      <c r="A113" s="834">
        <v>45790</v>
      </c>
      <c r="B113" s="835" t="s">
        <v>1573</v>
      </c>
      <c r="C113" s="839" t="s">
        <v>84</v>
      </c>
      <c r="D113" s="837">
        <v>4500166203</v>
      </c>
      <c r="E113" s="1302" t="s">
        <v>1574</v>
      </c>
      <c r="F113" s="837" t="s">
        <v>1575</v>
      </c>
      <c r="G113" s="838" t="s">
        <v>1189</v>
      </c>
      <c r="H113" s="838" t="s">
        <v>1140</v>
      </c>
      <c r="I113" s="838">
        <v>1152</v>
      </c>
      <c r="J113" s="838">
        <v>0</v>
      </c>
      <c r="K113" s="838">
        <v>1152</v>
      </c>
      <c r="L113" s="847">
        <f t="shared" si="43"/>
        <v>1</v>
      </c>
      <c r="M113" s="848">
        <v>45818</v>
      </c>
      <c r="N113" s="848">
        <v>45814</v>
      </c>
      <c r="O113" s="849" t="s">
        <v>1576</v>
      </c>
      <c r="P113" s="850" t="s">
        <v>46</v>
      </c>
      <c r="Q113" s="838"/>
      <c r="R113" s="862" t="s">
        <v>1577</v>
      </c>
      <c r="S113" s="838" t="s">
        <v>58</v>
      </c>
      <c r="T113" s="863" t="s">
        <v>969</v>
      </c>
      <c r="U113" s="864" t="s">
        <v>1578</v>
      </c>
      <c r="V113" s="848" t="s">
        <v>1579</v>
      </c>
      <c r="W113" s="865">
        <v>1308.57</v>
      </c>
      <c r="X113" s="866">
        <f>W113*L113</f>
        <v>1308.57</v>
      </c>
      <c r="Y113" s="838" t="s">
        <v>1580</v>
      </c>
      <c r="Z113" s="838" t="s">
        <v>1189</v>
      </c>
      <c r="AA113" s="838" t="s">
        <v>53</v>
      </c>
      <c r="AB113" s="873" t="s">
        <v>54</v>
      </c>
      <c r="AC113" s="838"/>
      <c r="AD113" s="874">
        <f>1116+36</f>
        <v>1152</v>
      </c>
      <c r="AE113" s="874">
        <f t="shared" si="51"/>
        <v>0</v>
      </c>
      <c r="AF113" s="896">
        <v>45817</v>
      </c>
      <c r="AG113" s="838"/>
      <c r="AH113" s="838"/>
      <c r="AI113" s="838">
        <f t="shared" si="57"/>
        <v>1152</v>
      </c>
      <c r="AJ113" s="838"/>
      <c r="AK113" s="838">
        <f>I113</f>
        <v>1152</v>
      </c>
      <c r="AN113" s="838"/>
      <c r="AO113" s="838"/>
      <c r="AQ113" s="838"/>
      <c r="AR113" s="838"/>
      <c r="AS113" s="838">
        <f>I113</f>
        <v>1152</v>
      </c>
      <c r="AT113" s="838"/>
      <c r="AX113" s="803">
        <f>I113/12</f>
        <v>96</v>
      </c>
      <c r="BS113" s="888">
        <f t="shared" si="39"/>
        <v>1152</v>
      </c>
      <c r="BT113" s="889">
        <f t="shared" si="40"/>
        <v>2441460</v>
      </c>
      <c r="BU113" s="892"/>
      <c r="BV113" s="892"/>
      <c r="BW113" s="892"/>
      <c r="BX113" s="892"/>
      <c r="BY113" s="891">
        <f t="shared" si="37"/>
        <v>378540</v>
      </c>
      <c r="CA113" s="805">
        <f t="shared" si="41"/>
        <v>0</v>
      </c>
      <c r="CB113" s="888">
        <f t="shared" si="42"/>
        <v>49766.5714285714</v>
      </c>
      <c r="CC113" s="892"/>
      <c r="CD113" s="892"/>
      <c r="CE113" s="892"/>
      <c r="CF113" s="888">
        <f t="shared" si="38"/>
        <v>10233.4285714286</v>
      </c>
      <c r="CG113" s="892"/>
    </row>
    <row r="114" s="803" customFormat="1" ht="31" hidden="1" customHeight="1" spans="1:85">
      <c r="A114" s="834">
        <v>45790</v>
      </c>
      <c r="B114" s="835" t="s">
        <v>1573</v>
      </c>
      <c r="C114" s="839" t="s">
        <v>84</v>
      </c>
      <c r="D114" s="837">
        <v>4500166203</v>
      </c>
      <c r="E114" s="1302" t="s">
        <v>1581</v>
      </c>
      <c r="F114" s="837" t="s">
        <v>1582</v>
      </c>
      <c r="G114" s="838" t="s">
        <v>1189</v>
      </c>
      <c r="H114" s="838" t="s">
        <v>1140</v>
      </c>
      <c r="I114" s="838">
        <v>1152</v>
      </c>
      <c r="J114" s="838">
        <v>0</v>
      </c>
      <c r="K114" s="838">
        <v>1152</v>
      </c>
      <c r="L114" s="847">
        <f t="shared" si="43"/>
        <v>1</v>
      </c>
      <c r="M114" s="848">
        <v>45818</v>
      </c>
      <c r="N114" s="848">
        <v>45814</v>
      </c>
      <c r="O114" s="849" t="s">
        <v>1576</v>
      </c>
      <c r="P114" s="850" t="s">
        <v>46</v>
      </c>
      <c r="Q114" s="838"/>
      <c r="R114" s="862" t="s">
        <v>1577</v>
      </c>
      <c r="S114" s="838" t="s">
        <v>58</v>
      </c>
      <c r="T114" s="863" t="s">
        <v>969</v>
      </c>
      <c r="U114" s="864" t="s">
        <v>1578</v>
      </c>
      <c r="V114" s="848" t="s">
        <v>1579</v>
      </c>
      <c r="W114" s="865">
        <v>1308.57</v>
      </c>
      <c r="X114" s="866">
        <f>W114*L114</f>
        <v>1308.57</v>
      </c>
      <c r="Y114" s="838" t="s">
        <v>1583</v>
      </c>
      <c r="Z114" s="838" t="s">
        <v>1189</v>
      </c>
      <c r="AA114" s="838" t="s">
        <v>53</v>
      </c>
      <c r="AB114" s="873" t="s">
        <v>54</v>
      </c>
      <c r="AC114" s="838"/>
      <c r="AD114" s="874">
        <v>1152</v>
      </c>
      <c r="AE114" s="874">
        <f t="shared" si="51"/>
        <v>0</v>
      </c>
      <c r="AF114" s="896">
        <v>45817</v>
      </c>
      <c r="AG114" s="838"/>
      <c r="AH114" s="838"/>
      <c r="AI114" s="838">
        <f t="shared" si="57"/>
        <v>1152</v>
      </c>
      <c r="AJ114" s="838"/>
      <c r="AK114" s="838">
        <f>I114</f>
        <v>1152</v>
      </c>
      <c r="AN114" s="838"/>
      <c r="AO114" s="838"/>
      <c r="AQ114" s="838"/>
      <c r="AR114" s="838"/>
      <c r="AS114" s="838">
        <f>I114</f>
        <v>1152</v>
      </c>
      <c r="AT114" s="838"/>
      <c r="AX114" s="803">
        <f>I114/12</f>
        <v>96</v>
      </c>
      <c r="BS114" s="888">
        <f t="shared" si="39"/>
        <v>1152</v>
      </c>
      <c r="BT114" s="889">
        <f t="shared" si="40"/>
        <v>2442612</v>
      </c>
      <c r="BU114" s="892"/>
      <c r="BV114" s="892"/>
      <c r="BW114" s="892"/>
      <c r="BX114" s="892"/>
      <c r="BY114" s="891">
        <f t="shared" si="37"/>
        <v>377388</v>
      </c>
      <c r="CA114" s="805">
        <f t="shared" si="41"/>
        <v>0</v>
      </c>
      <c r="CB114" s="888">
        <f t="shared" si="42"/>
        <v>49766.5714285714</v>
      </c>
      <c r="CC114" s="892"/>
      <c r="CD114" s="892"/>
      <c r="CE114" s="892"/>
      <c r="CF114" s="888">
        <f t="shared" si="38"/>
        <v>10233.4285714286</v>
      </c>
      <c r="CG114" s="892"/>
    </row>
    <row r="115" s="803" customFormat="1" ht="31" hidden="1" customHeight="1" spans="1:85">
      <c r="A115" s="834">
        <v>45790</v>
      </c>
      <c r="B115" s="835" t="s">
        <v>1573</v>
      </c>
      <c r="C115" s="839" t="s">
        <v>84</v>
      </c>
      <c r="D115" s="837">
        <v>4500166203</v>
      </c>
      <c r="E115" s="1302" t="s">
        <v>1584</v>
      </c>
      <c r="F115" s="837" t="s">
        <v>1585</v>
      </c>
      <c r="G115" s="838" t="s">
        <v>1189</v>
      </c>
      <c r="H115" s="838" t="s">
        <v>1140</v>
      </c>
      <c r="I115" s="838">
        <v>1152</v>
      </c>
      <c r="J115" s="838">
        <v>0</v>
      </c>
      <c r="K115" s="838">
        <v>1152</v>
      </c>
      <c r="L115" s="847">
        <f t="shared" si="43"/>
        <v>1</v>
      </c>
      <c r="M115" s="848">
        <v>45818</v>
      </c>
      <c r="N115" s="848">
        <v>45814</v>
      </c>
      <c r="O115" s="849" t="s">
        <v>1576</v>
      </c>
      <c r="P115" s="850" t="s">
        <v>46</v>
      </c>
      <c r="Q115" s="838"/>
      <c r="R115" s="862" t="s">
        <v>1577</v>
      </c>
      <c r="S115" s="838" t="s">
        <v>58</v>
      </c>
      <c r="T115" s="863" t="s">
        <v>969</v>
      </c>
      <c r="U115" s="864" t="s">
        <v>1578</v>
      </c>
      <c r="V115" s="848" t="s">
        <v>1579</v>
      </c>
      <c r="W115" s="865">
        <v>1308.57</v>
      </c>
      <c r="X115" s="866">
        <f>W115*L115</f>
        <v>1308.57</v>
      </c>
      <c r="Y115" s="838" t="s">
        <v>1586</v>
      </c>
      <c r="Z115" s="838" t="s">
        <v>1189</v>
      </c>
      <c r="AA115" s="838" t="s">
        <v>53</v>
      </c>
      <c r="AB115" s="873" t="s">
        <v>54</v>
      </c>
      <c r="AC115" s="838"/>
      <c r="AD115" s="874">
        <f>1140+12</f>
        <v>1152</v>
      </c>
      <c r="AE115" s="874">
        <f t="shared" si="51"/>
        <v>0</v>
      </c>
      <c r="AF115" s="896">
        <v>45817</v>
      </c>
      <c r="AG115" s="838"/>
      <c r="AH115" s="838"/>
      <c r="AI115" s="838">
        <f t="shared" si="57"/>
        <v>1152</v>
      </c>
      <c r="AJ115" s="838"/>
      <c r="AK115" s="838">
        <f>I115</f>
        <v>1152</v>
      </c>
      <c r="AN115" s="838"/>
      <c r="AO115" s="838"/>
      <c r="AQ115" s="838"/>
      <c r="AR115" s="838"/>
      <c r="AS115" s="838">
        <f>I115</f>
        <v>1152</v>
      </c>
      <c r="AT115" s="838"/>
      <c r="AX115" s="803">
        <f>I115/12</f>
        <v>96</v>
      </c>
      <c r="BS115" s="888">
        <f t="shared" si="39"/>
        <v>1152</v>
      </c>
      <c r="BT115" s="889">
        <f t="shared" si="40"/>
        <v>2443764</v>
      </c>
      <c r="BU115" s="892"/>
      <c r="BV115" s="892"/>
      <c r="BW115" s="892"/>
      <c r="BX115" s="892"/>
      <c r="BY115" s="891">
        <f t="shared" si="37"/>
        <v>376236</v>
      </c>
      <c r="CA115" s="805">
        <f t="shared" si="41"/>
        <v>0</v>
      </c>
      <c r="CB115" s="888">
        <f t="shared" si="42"/>
        <v>49766.5714285714</v>
      </c>
      <c r="CC115" s="892"/>
      <c r="CD115" s="892"/>
      <c r="CE115" s="892"/>
      <c r="CF115" s="888">
        <f t="shared" si="38"/>
        <v>10233.4285714286</v>
      </c>
      <c r="CG115" s="892"/>
    </row>
    <row r="116" s="803" customFormat="1" ht="31" customHeight="1" spans="1:85">
      <c r="A116" s="834">
        <v>45784</v>
      </c>
      <c r="B116" s="835" t="s">
        <v>1587</v>
      </c>
      <c r="C116" s="839" t="s">
        <v>1588</v>
      </c>
      <c r="D116" s="837">
        <v>4500165702</v>
      </c>
      <c r="E116" s="835"/>
      <c r="F116" s="837" t="s">
        <v>1589</v>
      </c>
      <c r="G116" s="838" t="s">
        <v>1155</v>
      </c>
      <c r="H116" s="838" t="s">
        <v>1140</v>
      </c>
      <c r="I116" s="838">
        <v>600</v>
      </c>
      <c r="J116" s="838">
        <v>0</v>
      </c>
      <c r="K116" s="838">
        <v>50</v>
      </c>
      <c r="L116" s="847">
        <f t="shared" si="43"/>
        <v>12</v>
      </c>
      <c r="M116" s="848">
        <v>45826</v>
      </c>
      <c r="N116" s="848">
        <v>45822</v>
      </c>
      <c r="O116" s="849"/>
      <c r="P116" s="850" t="s">
        <v>46</v>
      </c>
      <c r="Q116" s="838"/>
      <c r="R116" s="862">
        <v>45784</v>
      </c>
      <c r="S116" s="838" t="s">
        <v>58</v>
      </c>
      <c r="T116" s="863">
        <v>45784</v>
      </c>
      <c r="U116" s="864" t="s">
        <v>1590</v>
      </c>
      <c r="V116" s="848" t="s">
        <v>1591</v>
      </c>
      <c r="W116" s="865">
        <v>1.9605</v>
      </c>
      <c r="X116" s="866">
        <f>I116*W116</f>
        <v>1176.3</v>
      </c>
      <c r="Y116" s="838" t="s">
        <v>1592</v>
      </c>
      <c r="Z116" s="838" t="s">
        <v>1155</v>
      </c>
      <c r="AA116" s="838" t="s">
        <v>53</v>
      </c>
      <c r="AB116" s="873" t="s">
        <v>54</v>
      </c>
      <c r="AC116" s="838"/>
      <c r="AD116" s="874">
        <f>550+50</f>
        <v>600</v>
      </c>
      <c r="AE116" s="874">
        <f t="shared" si="51"/>
        <v>0</v>
      </c>
      <c r="AF116" s="875"/>
      <c r="AG116" s="838" t="s">
        <v>55</v>
      </c>
      <c r="AH116" s="838"/>
      <c r="AI116" s="838">
        <f t="shared" si="57"/>
        <v>600</v>
      </c>
      <c r="AJ116" s="838"/>
      <c r="AK116" s="838">
        <f>I116</f>
        <v>600</v>
      </c>
      <c r="AN116" s="838"/>
      <c r="AO116" s="838"/>
      <c r="AQ116" s="838">
        <f>I116</f>
        <v>600</v>
      </c>
      <c r="AR116" s="838"/>
      <c r="AS116" s="838"/>
      <c r="AT116" s="838"/>
      <c r="BC116" s="803">
        <f>I116/25</f>
        <v>24</v>
      </c>
      <c r="BS116" s="888">
        <f t="shared" si="39"/>
        <v>600</v>
      </c>
      <c r="BT116" s="889">
        <f t="shared" si="40"/>
        <v>2444364</v>
      </c>
      <c r="BU116" s="892"/>
      <c r="BV116" s="892"/>
      <c r="BW116" s="892"/>
      <c r="BX116" s="892"/>
      <c r="BY116" s="891">
        <f t="shared" si="37"/>
        <v>375636</v>
      </c>
      <c r="CA116" s="805">
        <f t="shared" si="41"/>
        <v>24</v>
      </c>
      <c r="CB116" s="888">
        <f t="shared" si="42"/>
        <v>49790.5714285714</v>
      </c>
      <c r="CC116" s="892"/>
      <c r="CD116" s="892"/>
      <c r="CE116" s="892"/>
      <c r="CF116" s="888">
        <f t="shared" si="38"/>
        <v>10209.4285714286</v>
      </c>
      <c r="CG116" s="892"/>
    </row>
    <row r="117" s="803" customFormat="1" ht="31" hidden="1" customHeight="1" spans="1:85">
      <c r="A117" s="834">
        <v>45789</v>
      </c>
      <c r="B117" s="835" t="s">
        <v>1593</v>
      </c>
      <c r="C117" s="839" t="s">
        <v>1374</v>
      </c>
      <c r="D117" s="837">
        <v>4500165851</v>
      </c>
      <c r="E117" s="835" t="s">
        <v>1594</v>
      </c>
      <c r="F117" s="837" t="s">
        <v>1595</v>
      </c>
      <c r="G117" s="838" t="s">
        <v>1139</v>
      </c>
      <c r="H117" s="838" t="s">
        <v>1140</v>
      </c>
      <c r="I117" s="838">
        <v>1820</v>
      </c>
      <c r="J117" s="838">
        <v>0</v>
      </c>
      <c r="K117" s="838">
        <v>52</v>
      </c>
      <c r="L117" s="847">
        <f t="shared" si="43"/>
        <v>35</v>
      </c>
      <c r="M117" s="848">
        <v>45828</v>
      </c>
      <c r="N117" s="848">
        <v>45824</v>
      </c>
      <c r="O117" s="849"/>
      <c r="P117" s="850" t="s">
        <v>46</v>
      </c>
      <c r="Q117" s="838"/>
      <c r="R117" s="862">
        <v>45792</v>
      </c>
      <c r="S117" s="838" t="s">
        <v>58</v>
      </c>
      <c r="T117" s="863">
        <v>45789</v>
      </c>
      <c r="U117" s="864" t="s">
        <v>1596</v>
      </c>
      <c r="V117" s="848" t="s">
        <v>1597</v>
      </c>
      <c r="W117" s="865">
        <v>1.8632</v>
      </c>
      <c r="X117" s="866">
        <f>I117*W117</f>
        <v>3391.024</v>
      </c>
      <c r="Y117" s="838" t="s">
        <v>1598</v>
      </c>
      <c r="Z117" s="838" t="s">
        <v>1139</v>
      </c>
      <c r="AA117" s="838" t="s">
        <v>53</v>
      </c>
      <c r="AB117" s="873" t="s">
        <v>54</v>
      </c>
      <c r="AC117" s="838"/>
      <c r="AD117" s="874">
        <f>1768+52</f>
        <v>1820</v>
      </c>
      <c r="AE117" s="874">
        <f t="shared" si="51"/>
        <v>0</v>
      </c>
      <c r="AF117" s="875"/>
      <c r="AG117" s="838" t="s">
        <v>55</v>
      </c>
      <c r="AH117" s="838"/>
      <c r="AI117" s="838">
        <f t="shared" si="57"/>
        <v>1820</v>
      </c>
      <c r="AJ117" s="838"/>
      <c r="AK117" s="838">
        <f>I117</f>
        <v>1820</v>
      </c>
      <c r="AN117" s="838"/>
      <c r="AO117" s="838"/>
      <c r="AQ117" s="838">
        <f>I117</f>
        <v>1820</v>
      </c>
      <c r="AR117" s="838"/>
      <c r="AS117" s="838"/>
      <c r="AT117" s="838"/>
      <c r="BA117" s="803">
        <f>I117/13</f>
        <v>140</v>
      </c>
      <c r="BS117" s="888">
        <f t="shared" si="39"/>
        <v>1820</v>
      </c>
      <c r="BT117" s="889">
        <f t="shared" si="40"/>
        <v>2446184</v>
      </c>
      <c r="BU117" s="892"/>
      <c r="BV117" s="892"/>
      <c r="BW117" s="892"/>
      <c r="BX117" s="892"/>
      <c r="BY117" s="891">
        <f t="shared" si="37"/>
        <v>373816</v>
      </c>
      <c r="CA117" s="805">
        <f t="shared" si="41"/>
        <v>0</v>
      </c>
      <c r="CB117" s="888">
        <f t="shared" si="42"/>
        <v>49790.5714285714</v>
      </c>
      <c r="CC117" s="892"/>
      <c r="CD117" s="892"/>
      <c r="CE117" s="892"/>
      <c r="CF117" s="888">
        <f t="shared" si="38"/>
        <v>10209.4285714286</v>
      </c>
      <c r="CG117" s="892"/>
    </row>
    <row r="118" s="803" customFormat="1" ht="31" customHeight="1" spans="1:85">
      <c r="A118" s="834">
        <v>45763</v>
      </c>
      <c r="B118" s="835" t="s">
        <v>915</v>
      </c>
      <c r="C118" s="839" t="s">
        <v>916</v>
      </c>
      <c r="D118" s="837">
        <v>4500163691</v>
      </c>
      <c r="E118" s="835" t="s">
        <v>1599</v>
      </c>
      <c r="F118" s="837" t="s">
        <v>1600</v>
      </c>
      <c r="G118" s="838" t="s">
        <v>1155</v>
      </c>
      <c r="H118" s="838" t="s">
        <v>1140</v>
      </c>
      <c r="I118" s="838">
        <v>5000</v>
      </c>
      <c r="J118" s="838">
        <v>0</v>
      </c>
      <c r="K118" s="838">
        <v>50</v>
      </c>
      <c r="L118" s="847">
        <f t="shared" si="43"/>
        <v>100</v>
      </c>
      <c r="M118" s="848">
        <v>45818</v>
      </c>
      <c r="N118" s="848">
        <v>45825</v>
      </c>
      <c r="O118" s="849" t="s">
        <v>1601</v>
      </c>
      <c r="P118" s="850" t="s">
        <v>46</v>
      </c>
      <c r="Q118" s="838"/>
      <c r="R118" s="862">
        <v>45784</v>
      </c>
      <c r="S118" s="838" t="s">
        <v>58</v>
      </c>
      <c r="T118" s="863">
        <v>45813</v>
      </c>
      <c r="U118" s="864" t="s">
        <v>1602</v>
      </c>
      <c r="V118" s="848" t="s">
        <v>653</v>
      </c>
      <c r="W118" s="865">
        <v>1.949</v>
      </c>
      <c r="X118" s="866">
        <f>I118*W118</f>
        <v>9745</v>
      </c>
      <c r="Y118" s="838" t="s">
        <v>1603</v>
      </c>
      <c r="Z118" s="838" t="s">
        <v>1160</v>
      </c>
      <c r="AA118" s="838" t="s">
        <v>53</v>
      </c>
      <c r="AB118" s="873" t="s">
        <v>54</v>
      </c>
      <c r="AC118" s="838"/>
      <c r="AD118" s="874">
        <f>2550+50+2400</f>
        <v>5000</v>
      </c>
      <c r="AE118" s="874">
        <f t="shared" si="51"/>
        <v>0</v>
      </c>
      <c r="AF118" s="875"/>
      <c r="AG118" s="838" t="s">
        <v>55</v>
      </c>
      <c r="AH118" s="838"/>
      <c r="AI118" s="838">
        <f t="shared" si="57"/>
        <v>5000</v>
      </c>
      <c r="AJ118" s="838"/>
      <c r="AK118" s="838"/>
      <c r="AN118" s="838">
        <f>I118</f>
        <v>5000</v>
      </c>
      <c r="AO118" s="838"/>
      <c r="AQ118" s="838">
        <f>I118</f>
        <v>5000</v>
      </c>
      <c r="AR118" s="838"/>
      <c r="AS118" s="838"/>
      <c r="AT118" s="838"/>
      <c r="BD118" s="803">
        <f>I118/25</f>
        <v>200</v>
      </c>
      <c r="BS118" s="888">
        <f t="shared" si="39"/>
        <v>5000</v>
      </c>
      <c r="BT118" s="889">
        <f t="shared" si="40"/>
        <v>2451184</v>
      </c>
      <c r="BU118" s="892"/>
      <c r="BV118" s="892"/>
      <c r="BW118" s="892"/>
      <c r="BX118" s="892"/>
      <c r="BY118" s="891">
        <f t="shared" si="37"/>
        <v>368816</v>
      </c>
      <c r="CA118" s="805">
        <f t="shared" si="41"/>
        <v>200</v>
      </c>
      <c r="CB118" s="888">
        <f t="shared" si="42"/>
        <v>49990.5714285714</v>
      </c>
      <c r="CC118" s="892"/>
      <c r="CD118" s="892"/>
      <c r="CE118" s="892"/>
      <c r="CF118" s="888">
        <f t="shared" si="38"/>
        <v>10009.4285714286</v>
      </c>
      <c r="CG118" s="892"/>
    </row>
    <row r="119" s="803" customFormat="1" ht="31" customHeight="1" spans="1:85">
      <c r="A119" s="834">
        <v>45798</v>
      </c>
      <c r="B119" s="835" t="s">
        <v>1604</v>
      </c>
      <c r="C119" s="839" t="s">
        <v>839</v>
      </c>
      <c r="D119" s="837">
        <v>4500167360</v>
      </c>
      <c r="E119" s="835" t="s">
        <v>1605</v>
      </c>
      <c r="F119" s="837" t="s">
        <v>1606</v>
      </c>
      <c r="G119" s="838" t="s">
        <v>1155</v>
      </c>
      <c r="H119" s="838" t="s">
        <v>1140</v>
      </c>
      <c r="I119" s="838">
        <v>3000</v>
      </c>
      <c r="J119" s="838">
        <v>0</v>
      </c>
      <c r="K119" s="838">
        <v>50</v>
      </c>
      <c r="L119" s="847">
        <f t="shared" si="43"/>
        <v>60</v>
      </c>
      <c r="M119" s="848">
        <v>45829</v>
      </c>
      <c r="N119" s="848">
        <v>45825</v>
      </c>
      <c r="O119" s="849"/>
      <c r="P119" s="850" t="s">
        <v>46</v>
      </c>
      <c r="Q119" s="838"/>
      <c r="R119" s="862">
        <v>45804</v>
      </c>
      <c r="S119" s="838" t="s">
        <v>58</v>
      </c>
      <c r="T119" s="863">
        <v>45805</v>
      </c>
      <c r="U119" s="864" t="s">
        <v>1607</v>
      </c>
      <c r="V119" s="848" t="s">
        <v>214</v>
      </c>
      <c r="W119" s="865">
        <v>1.9381</v>
      </c>
      <c r="X119" s="866">
        <f>I119*W119</f>
        <v>5814.3</v>
      </c>
      <c r="Y119" s="838" t="s">
        <v>1608</v>
      </c>
      <c r="Z119" s="838" t="s">
        <v>1155</v>
      </c>
      <c r="AA119" s="838" t="s">
        <v>53</v>
      </c>
      <c r="AB119" s="873" t="s">
        <v>54</v>
      </c>
      <c r="AC119" s="838"/>
      <c r="AD119" s="874">
        <v>3000</v>
      </c>
      <c r="AE119" s="874">
        <f t="shared" si="51"/>
        <v>0</v>
      </c>
      <c r="AF119" s="875"/>
      <c r="AG119" s="838" t="s">
        <v>55</v>
      </c>
      <c r="AH119" s="838"/>
      <c r="AI119" s="838">
        <f t="shared" si="57"/>
        <v>3000</v>
      </c>
      <c r="AJ119" s="838"/>
      <c r="AK119" s="838">
        <f>I119</f>
        <v>3000</v>
      </c>
      <c r="AN119" s="838"/>
      <c r="AO119" s="838"/>
      <c r="AQ119" s="838">
        <f>I119</f>
        <v>3000</v>
      </c>
      <c r="AR119" s="838"/>
      <c r="AS119" s="838"/>
      <c r="AT119" s="838"/>
      <c r="BD119" s="803">
        <f>I119/25</f>
        <v>120</v>
      </c>
      <c r="BS119" s="888">
        <f t="shared" si="39"/>
        <v>3000</v>
      </c>
      <c r="BT119" s="889">
        <f t="shared" si="40"/>
        <v>2454184</v>
      </c>
      <c r="BU119" s="892"/>
      <c r="BV119" s="892"/>
      <c r="BW119" s="892"/>
      <c r="BX119" s="892"/>
      <c r="BY119" s="891">
        <f t="shared" si="37"/>
        <v>365816</v>
      </c>
      <c r="CA119" s="805">
        <f t="shared" si="41"/>
        <v>120</v>
      </c>
      <c r="CB119" s="888">
        <f t="shared" si="42"/>
        <v>50110.5714285714</v>
      </c>
      <c r="CC119" s="892"/>
      <c r="CD119" s="892"/>
      <c r="CE119" s="892"/>
      <c r="CF119" s="888">
        <f t="shared" si="38"/>
        <v>9889.4285714286</v>
      </c>
      <c r="CG119" s="892"/>
    </row>
    <row r="120" s="803" customFormat="1" ht="31" hidden="1" customHeight="1" spans="1:85">
      <c r="A120" s="834">
        <v>45799</v>
      </c>
      <c r="B120" s="835" t="s">
        <v>199</v>
      </c>
      <c r="C120" s="839" t="s">
        <v>84</v>
      </c>
      <c r="D120" s="837">
        <v>4500167618</v>
      </c>
      <c r="E120" s="1302" t="s">
        <v>1609</v>
      </c>
      <c r="F120" s="837" t="s">
        <v>1610</v>
      </c>
      <c r="G120" s="838" t="s">
        <v>1189</v>
      </c>
      <c r="H120" s="838" t="s">
        <v>1140</v>
      </c>
      <c r="I120" s="838">
        <v>1152</v>
      </c>
      <c r="J120" s="838">
        <v>0</v>
      </c>
      <c r="K120" s="838">
        <v>1152</v>
      </c>
      <c r="L120" s="847">
        <f t="shared" si="43"/>
        <v>1</v>
      </c>
      <c r="M120" s="848">
        <v>45829</v>
      </c>
      <c r="N120" s="848">
        <f t="shared" ref="N120:N128" si="58">M120-4</f>
        <v>45825</v>
      </c>
      <c r="O120" s="849"/>
      <c r="P120" s="850" t="s">
        <v>46</v>
      </c>
      <c r="Q120" s="838"/>
      <c r="R120" s="862" t="s">
        <v>251</v>
      </c>
      <c r="S120" s="838" t="s">
        <v>58</v>
      </c>
      <c r="T120" s="863" t="s">
        <v>969</v>
      </c>
      <c r="U120" s="864" t="s">
        <v>1239</v>
      </c>
      <c r="V120" s="848" t="s">
        <v>1579</v>
      </c>
      <c r="W120" s="865">
        <v>304.56</v>
      </c>
      <c r="X120" s="866">
        <f>W120*L120</f>
        <v>304.56</v>
      </c>
      <c r="Y120" s="838" t="s">
        <v>1611</v>
      </c>
      <c r="Z120" s="838" t="s">
        <v>1189</v>
      </c>
      <c r="AA120" s="838" t="s">
        <v>53</v>
      </c>
      <c r="AB120" s="873" t="s">
        <v>54</v>
      </c>
      <c r="AC120" s="838"/>
      <c r="AD120" s="874">
        <v>1152</v>
      </c>
      <c r="AE120" s="874">
        <f t="shared" si="51"/>
        <v>0</v>
      </c>
      <c r="AF120" s="896">
        <v>45831</v>
      </c>
      <c r="AG120" s="838"/>
      <c r="AH120" s="838"/>
      <c r="AI120" s="838">
        <f t="shared" si="57"/>
        <v>1152</v>
      </c>
      <c r="AJ120" s="838"/>
      <c r="AK120" s="838">
        <f>I120</f>
        <v>1152</v>
      </c>
      <c r="AN120" s="838"/>
      <c r="AO120" s="838"/>
      <c r="AQ120" s="838"/>
      <c r="AR120" s="838"/>
      <c r="AS120" s="838">
        <f>I120</f>
        <v>1152</v>
      </c>
      <c r="AT120" s="838"/>
      <c r="AX120" s="803">
        <f>I120/12</f>
        <v>96</v>
      </c>
      <c r="BS120" s="888">
        <f t="shared" si="39"/>
        <v>1152</v>
      </c>
      <c r="BT120" s="889">
        <f t="shared" si="40"/>
        <v>2455336</v>
      </c>
      <c r="BU120" s="892"/>
      <c r="BV120" s="892"/>
      <c r="BW120" s="892"/>
      <c r="BX120" s="892"/>
      <c r="BY120" s="891">
        <f t="shared" si="37"/>
        <v>364664</v>
      </c>
      <c r="CA120" s="805">
        <f t="shared" si="41"/>
        <v>0</v>
      </c>
      <c r="CB120" s="888">
        <f t="shared" si="42"/>
        <v>50110.5714285714</v>
      </c>
      <c r="CC120" s="892"/>
      <c r="CD120" s="892"/>
      <c r="CE120" s="892"/>
      <c r="CF120" s="888">
        <f t="shared" si="38"/>
        <v>9889.4285714286</v>
      </c>
      <c r="CG120" s="892"/>
    </row>
    <row r="121" s="803" customFormat="1" ht="31" hidden="1" customHeight="1" spans="1:85">
      <c r="A121" s="834">
        <v>45799</v>
      </c>
      <c r="B121" s="835" t="s">
        <v>199</v>
      </c>
      <c r="C121" s="839" t="s">
        <v>84</v>
      </c>
      <c r="D121" s="837">
        <v>4500167618</v>
      </c>
      <c r="E121" s="1302" t="s">
        <v>1612</v>
      </c>
      <c r="F121" s="837" t="s">
        <v>1613</v>
      </c>
      <c r="G121" s="838" t="s">
        <v>1189</v>
      </c>
      <c r="H121" s="838" t="s">
        <v>1140</v>
      </c>
      <c r="I121" s="838">
        <v>1152</v>
      </c>
      <c r="J121" s="838">
        <v>0</v>
      </c>
      <c r="K121" s="838">
        <v>1152</v>
      </c>
      <c r="L121" s="847">
        <f t="shared" si="43"/>
        <v>1</v>
      </c>
      <c r="M121" s="848">
        <v>45829</v>
      </c>
      <c r="N121" s="848">
        <f t="shared" si="58"/>
        <v>45825</v>
      </c>
      <c r="O121" s="849"/>
      <c r="P121" s="850" t="s">
        <v>46</v>
      </c>
      <c r="Q121" s="838"/>
      <c r="R121" s="862" t="s">
        <v>251</v>
      </c>
      <c r="S121" s="838" t="s">
        <v>58</v>
      </c>
      <c r="T121" s="863" t="s">
        <v>969</v>
      </c>
      <c r="U121" s="864" t="s">
        <v>1239</v>
      </c>
      <c r="V121" s="848" t="s">
        <v>1579</v>
      </c>
      <c r="W121" s="865">
        <v>304.56</v>
      </c>
      <c r="X121" s="866">
        <f>W121*L121</f>
        <v>304.56</v>
      </c>
      <c r="Y121" s="838" t="s">
        <v>1614</v>
      </c>
      <c r="Z121" s="838" t="s">
        <v>1189</v>
      </c>
      <c r="AA121" s="838" t="s">
        <v>53</v>
      </c>
      <c r="AB121" s="873" t="s">
        <v>54</v>
      </c>
      <c r="AC121" s="838"/>
      <c r="AD121" s="874">
        <v>1152</v>
      </c>
      <c r="AE121" s="874">
        <f t="shared" si="51"/>
        <v>0</v>
      </c>
      <c r="AF121" s="896">
        <v>45831</v>
      </c>
      <c r="AG121" s="838"/>
      <c r="AH121" s="838"/>
      <c r="AI121" s="838">
        <f t="shared" si="57"/>
        <v>1152</v>
      </c>
      <c r="AJ121" s="838"/>
      <c r="AK121" s="838">
        <f>I121</f>
        <v>1152</v>
      </c>
      <c r="AN121" s="838"/>
      <c r="AO121" s="838"/>
      <c r="AQ121" s="838"/>
      <c r="AR121" s="838"/>
      <c r="AS121" s="838">
        <f>I121</f>
        <v>1152</v>
      </c>
      <c r="AT121" s="838"/>
      <c r="AX121" s="803">
        <f>I121/12</f>
        <v>96</v>
      </c>
      <c r="BS121" s="888">
        <f t="shared" si="39"/>
        <v>1152</v>
      </c>
      <c r="BT121" s="889">
        <f t="shared" si="40"/>
        <v>2456488</v>
      </c>
      <c r="BU121" s="892"/>
      <c r="BV121" s="892"/>
      <c r="BW121" s="892"/>
      <c r="BX121" s="892"/>
      <c r="BY121" s="891">
        <f t="shared" si="37"/>
        <v>363512</v>
      </c>
      <c r="CA121" s="805">
        <f t="shared" si="41"/>
        <v>0</v>
      </c>
      <c r="CB121" s="888">
        <f t="shared" si="42"/>
        <v>50110.5714285714</v>
      </c>
      <c r="CC121" s="892"/>
      <c r="CD121" s="892"/>
      <c r="CE121" s="892"/>
      <c r="CF121" s="888">
        <f t="shared" si="38"/>
        <v>9889.4285714286</v>
      </c>
      <c r="CG121" s="892"/>
    </row>
    <row r="122" s="803" customFormat="1" ht="31" hidden="1" customHeight="1" spans="1:85">
      <c r="A122" s="834">
        <v>45799</v>
      </c>
      <c r="B122" s="835" t="s">
        <v>199</v>
      </c>
      <c r="C122" s="839" t="s">
        <v>84</v>
      </c>
      <c r="D122" s="837">
        <v>4500167618</v>
      </c>
      <c r="E122" s="1302" t="s">
        <v>1615</v>
      </c>
      <c r="F122" s="837" t="s">
        <v>1616</v>
      </c>
      <c r="G122" s="838" t="s">
        <v>1189</v>
      </c>
      <c r="H122" s="838" t="s">
        <v>1140</v>
      </c>
      <c r="I122" s="838">
        <v>2304</v>
      </c>
      <c r="J122" s="838">
        <v>0</v>
      </c>
      <c r="K122" s="838">
        <v>1152</v>
      </c>
      <c r="L122" s="847">
        <f t="shared" si="43"/>
        <v>2</v>
      </c>
      <c r="M122" s="848">
        <v>45829</v>
      </c>
      <c r="N122" s="848">
        <f t="shared" si="58"/>
        <v>45825</v>
      </c>
      <c r="O122" s="849"/>
      <c r="P122" s="850" t="s">
        <v>46</v>
      </c>
      <c r="Q122" s="838"/>
      <c r="R122" s="862" t="s">
        <v>251</v>
      </c>
      <c r="S122" s="838" t="s">
        <v>58</v>
      </c>
      <c r="T122" s="863" t="s">
        <v>969</v>
      </c>
      <c r="U122" s="864" t="s">
        <v>1239</v>
      </c>
      <c r="V122" s="848" t="s">
        <v>1579</v>
      </c>
      <c r="W122" s="865">
        <v>304.56</v>
      </c>
      <c r="X122" s="866">
        <f>W122*L122</f>
        <v>609.12</v>
      </c>
      <c r="Y122" s="838" t="s">
        <v>1617</v>
      </c>
      <c r="Z122" s="838" t="s">
        <v>1189</v>
      </c>
      <c r="AA122" s="838" t="s">
        <v>53</v>
      </c>
      <c r="AB122" s="873" t="s">
        <v>54</v>
      </c>
      <c r="AC122" s="838"/>
      <c r="AD122" s="874">
        <v>2304</v>
      </c>
      <c r="AE122" s="874">
        <f t="shared" si="51"/>
        <v>0</v>
      </c>
      <c r="AF122" s="896">
        <v>45831</v>
      </c>
      <c r="AG122" s="838"/>
      <c r="AH122" s="838"/>
      <c r="AI122" s="838">
        <f t="shared" si="57"/>
        <v>2304</v>
      </c>
      <c r="AJ122" s="838"/>
      <c r="AK122" s="838">
        <f>I122</f>
        <v>2304</v>
      </c>
      <c r="AN122" s="838"/>
      <c r="AO122" s="838"/>
      <c r="AQ122" s="838"/>
      <c r="AR122" s="838"/>
      <c r="AS122" s="838">
        <f>I122</f>
        <v>2304</v>
      </c>
      <c r="AT122" s="838"/>
      <c r="AX122" s="803">
        <f>I122/12</f>
        <v>192</v>
      </c>
      <c r="BS122" s="888">
        <f t="shared" si="39"/>
        <v>2304</v>
      </c>
      <c r="BT122" s="889">
        <f t="shared" si="40"/>
        <v>2458792</v>
      </c>
      <c r="BU122" s="892"/>
      <c r="BV122" s="892"/>
      <c r="BW122" s="892"/>
      <c r="BX122" s="892"/>
      <c r="BY122" s="891">
        <f t="shared" si="37"/>
        <v>361208</v>
      </c>
      <c r="CA122" s="805">
        <f t="shared" si="41"/>
        <v>0</v>
      </c>
      <c r="CB122" s="888">
        <f t="shared" si="42"/>
        <v>50110.5714285714</v>
      </c>
      <c r="CC122" s="892"/>
      <c r="CD122" s="892"/>
      <c r="CE122" s="892"/>
      <c r="CF122" s="888">
        <f t="shared" si="38"/>
        <v>9889.4285714286</v>
      </c>
      <c r="CG122" s="892"/>
    </row>
    <row r="123" s="803" customFormat="1" ht="31" hidden="1" customHeight="1" spans="1:85">
      <c r="A123" s="834">
        <v>45799</v>
      </c>
      <c r="B123" s="835" t="s">
        <v>199</v>
      </c>
      <c r="C123" s="839" t="s">
        <v>84</v>
      </c>
      <c r="D123" s="837">
        <v>4500167618</v>
      </c>
      <c r="E123" s="1302" t="s">
        <v>1618</v>
      </c>
      <c r="F123" s="837" t="s">
        <v>1619</v>
      </c>
      <c r="G123" s="838" t="s">
        <v>1189</v>
      </c>
      <c r="H123" s="838" t="s">
        <v>1140</v>
      </c>
      <c r="I123" s="838">
        <v>1152</v>
      </c>
      <c r="J123" s="838">
        <v>0</v>
      </c>
      <c r="K123" s="838">
        <v>1152</v>
      </c>
      <c r="L123" s="847">
        <f t="shared" si="43"/>
        <v>1</v>
      </c>
      <c r="M123" s="848">
        <v>45829</v>
      </c>
      <c r="N123" s="848">
        <f t="shared" si="58"/>
        <v>45825</v>
      </c>
      <c r="O123" s="849"/>
      <c r="P123" s="850" t="s">
        <v>46</v>
      </c>
      <c r="Q123" s="838"/>
      <c r="R123" s="862" t="s">
        <v>251</v>
      </c>
      <c r="S123" s="838" t="s">
        <v>58</v>
      </c>
      <c r="T123" s="863" t="s">
        <v>969</v>
      </c>
      <c r="U123" s="864" t="s">
        <v>1239</v>
      </c>
      <c r="V123" s="848" t="s">
        <v>1579</v>
      </c>
      <c r="W123" s="865">
        <v>304.56</v>
      </c>
      <c r="X123" s="866">
        <f>W123*L123</f>
        <v>304.56</v>
      </c>
      <c r="Y123" s="838" t="s">
        <v>1620</v>
      </c>
      <c r="Z123" s="838" t="s">
        <v>1189</v>
      </c>
      <c r="AA123" s="838" t="s">
        <v>53</v>
      </c>
      <c r="AB123" s="873" t="s">
        <v>54</v>
      </c>
      <c r="AC123" s="838"/>
      <c r="AD123" s="874">
        <v>1152</v>
      </c>
      <c r="AE123" s="874">
        <f t="shared" si="51"/>
        <v>0</v>
      </c>
      <c r="AF123" s="896">
        <v>45831</v>
      </c>
      <c r="AG123" s="838"/>
      <c r="AH123" s="838"/>
      <c r="AI123" s="838">
        <f t="shared" si="57"/>
        <v>1152</v>
      </c>
      <c r="AJ123" s="838"/>
      <c r="AK123" s="838">
        <f>I123</f>
        <v>1152</v>
      </c>
      <c r="AN123" s="838"/>
      <c r="AO123" s="838"/>
      <c r="AQ123" s="838"/>
      <c r="AR123" s="838"/>
      <c r="AS123" s="838">
        <f>I123</f>
        <v>1152</v>
      </c>
      <c r="AT123" s="838"/>
      <c r="AX123" s="803">
        <f>I123/12</f>
        <v>96</v>
      </c>
      <c r="BS123" s="888">
        <f t="shared" si="39"/>
        <v>1152</v>
      </c>
      <c r="BT123" s="889">
        <f t="shared" si="40"/>
        <v>2459944</v>
      </c>
      <c r="BU123" s="892"/>
      <c r="BV123" s="892"/>
      <c r="BW123" s="892"/>
      <c r="BX123" s="892"/>
      <c r="BY123" s="891">
        <f t="shared" si="37"/>
        <v>360056</v>
      </c>
      <c r="CA123" s="805">
        <f t="shared" si="41"/>
        <v>0</v>
      </c>
      <c r="CB123" s="888">
        <f t="shared" si="42"/>
        <v>50110.5714285714</v>
      </c>
      <c r="CC123" s="892"/>
      <c r="CD123" s="892"/>
      <c r="CE123" s="892"/>
      <c r="CF123" s="888">
        <f t="shared" si="38"/>
        <v>9889.4285714286</v>
      </c>
      <c r="CG123" s="892"/>
    </row>
    <row r="124" s="803" customFormat="1" ht="31" customHeight="1" spans="1:85">
      <c r="A124" s="834">
        <v>45797</v>
      </c>
      <c r="B124" s="835" t="s">
        <v>1621</v>
      </c>
      <c r="C124" s="839" t="s">
        <v>1622</v>
      </c>
      <c r="D124" s="837">
        <v>4500166992</v>
      </c>
      <c r="E124" s="1302" t="s">
        <v>1623</v>
      </c>
      <c r="F124" s="837" t="s">
        <v>1624</v>
      </c>
      <c r="G124" s="838" t="s">
        <v>1155</v>
      </c>
      <c r="H124" s="838" t="s">
        <v>1140</v>
      </c>
      <c r="I124" s="838">
        <v>750</v>
      </c>
      <c r="J124" s="838">
        <v>0</v>
      </c>
      <c r="K124" s="838">
        <v>50</v>
      </c>
      <c r="L124" s="847">
        <f t="shared" si="43"/>
        <v>15</v>
      </c>
      <c r="M124" s="848">
        <v>45842</v>
      </c>
      <c r="N124" s="848">
        <f t="shared" si="58"/>
        <v>45838</v>
      </c>
      <c r="O124" s="849"/>
      <c r="P124" s="850" t="s">
        <v>46</v>
      </c>
      <c r="Q124" s="838"/>
      <c r="R124" s="862">
        <v>45797</v>
      </c>
      <c r="S124" s="838" t="s">
        <v>58</v>
      </c>
      <c r="T124" s="863">
        <v>45807</v>
      </c>
      <c r="U124" s="864" t="s">
        <v>1625</v>
      </c>
      <c r="V124" s="848" t="s">
        <v>238</v>
      </c>
      <c r="W124" s="865">
        <v>1.9605</v>
      </c>
      <c r="X124" s="866">
        <f>I124*W124</f>
        <v>1470.375</v>
      </c>
      <c r="Y124" s="838" t="s">
        <v>1626</v>
      </c>
      <c r="Z124" s="838" t="s">
        <v>1160</v>
      </c>
      <c r="AA124" s="838" t="s">
        <v>53</v>
      </c>
      <c r="AB124" s="873" t="s">
        <v>54</v>
      </c>
      <c r="AC124" s="838"/>
      <c r="AD124" s="874">
        <v>750</v>
      </c>
      <c r="AE124" s="874">
        <f t="shared" si="51"/>
        <v>0</v>
      </c>
      <c r="AF124" s="875"/>
      <c r="AG124" s="838" t="s">
        <v>55</v>
      </c>
      <c r="AH124" s="838"/>
      <c r="AI124" s="838">
        <f t="shared" si="57"/>
        <v>750</v>
      </c>
      <c r="AJ124" s="838"/>
      <c r="AK124" s="838"/>
      <c r="AN124" s="838">
        <f>I124</f>
        <v>750</v>
      </c>
      <c r="AO124" s="838"/>
      <c r="AQ124" s="838">
        <f>I124</f>
        <v>750</v>
      </c>
      <c r="AR124" s="838"/>
      <c r="AS124" s="838"/>
      <c r="AT124" s="838"/>
      <c r="BD124" s="803">
        <f>I124/25</f>
        <v>30</v>
      </c>
      <c r="BS124" s="888">
        <f t="shared" si="39"/>
        <v>750</v>
      </c>
      <c r="BT124" s="889">
        <f t="shared" si="40"/>
        <v>2460694</v>
      </c>
      <c r="BU124" s="892"/>
      <c r="BV124" s="892"/>
      <c r="BW124" s="892"/>
      <c r="BX124" s="892"/>
      <c r="BY124" s="891">
        <f t="shared" si="37"/>
        <v>359306</v>
      </c>
      <c r="CA124" s="805">
        <f t="shared" si="41"/>
        <v>30</v>
      </c>
      <c r="CB124" s="888">
        <f t="shared" si="42"/>
        <v>50140.5714285714</v>
      </c>
      <c r="CC124" s="892"/>
      <c r="CD124" s="892"/>
      <c r="CE124" s="892"/>
      <c r="CF124" s="888">
        <f t="shared" si="38"/>
        <v>9859.4285714286</v>
      </c>
      <c r="CG124" s="892"/>
    </row>
    <row r="125" s="803" customFormat="1" ht="31" customHeight="1" spans="1:85">
      <c r="A125" s="834">
        <v>45811</v>
      </c>
      <c r="B125" s="835" t="s">
        <v>1627</v>
      </c>
      <c r="C125" s="839" t="s">
        <v>934</v>
      </c>
      <c r="D125" s="837">
        <v>4500168705</v>
      </c>
      <c r="E125" s="835"/>
      <c r="F125" s="837" t="s">
        <v>1628</v>
      </c>
      <c r="G125" s="838" t="s">
        <v>1155</v>
      </c>
      <c r="H125" s="838" t="s">
        <v>1140</v>
      </c>
      <c r="I125" s="838">
        <v>400</v>
      </c>
      <c r="J125" s="838">
        <v>0</v>
      </c>
      <c r="K125" s="838">
        <v>50</v>
      </c>
      <c r="L125" s="847">
        <f t="shared" si="43"/>
        <v>8</v>
      </c>
      <c r="M125" s="848">
        <v>45840</v>
      </c>
      <c r="N125" s="848">
        <f t="shared" si="58"/>
        <v>45836</v>
      </c>
      <c r="O125" s="849"/>
      <c r="P125" s="850" t="s">
        <v>46</v>
      </c>
      <c r="Q125" s="838"/>
      <c r="R125" s="862">
        <v>45814</v>
      </c>
      <c r="S125" s="838" t="s">
        <v>58</v>
      </c>
      <c r="T125" s="863">
        <v>45813</v>
      </c>
      <c r="U125" s="864" t="s">
        <v>1629</v>
      </c>
      <c r="V125" s="848" t="s">
        <v>938</v>
      </c>
      <c r="W125" s="865">
        <v>1.9605</v>
      </c>
      <c r="X125" s="866">
        <f>I125*W125</f>
        <v>784.2</v>
      </c>
      <c r="Y125" s="838" t="s">
        <v>1630</v>
      </c>
      <c r="Z125" s="838" t="s">
        <v>1160</v>
      </c>
      <c r="AA125" s="838" t="s">
        <v>53</v>
      </c>
      <c r="AB125" s="873" t="s">
        <v>54</v>
      </c>
      <c r="AC125" s="838"/>
      <c r="AD125" s="874">
        <v>400</v>
      </c>
      <c r="AE125" s="874">
        <f t="shared" si="51"/>
        <v>0</v>
      </c>
      <c r="AF125" s="875"/>
      <c r="AG125" s="838" t="s">
        <v>55</v>
      </c>
      <c r="AH125" s="838"/>
      <c r="AI125" s="838">
        <f t="shared" si="57"/>
        <v>400</v>
      </c>
      <c r="AJ125" s="838"/>
      <c r="AK125" s="838"/>
      <c r="AN125" s="838">
        <f>I125</f>
        <v>400</v>
      </c>
      <c r="AO125" s="838"/>
      <c r="AQ125" s="838">
        <f>I125</f>
        <v>400</v>
      </c>
      <c r="AR125" s="838"/>
      <c r="AS125" s="838"/>
      <c r="AT125" s="838"/>
      <c r="BD125" s="803">
        <f>I125/25</f>
        <v>16</v>
      </c>
      <c r="BS125" s="888">
        <f t="shared" si="39"/>
        <v>400</v>
      </c>
      <c r="BT125" s="889">
        <f t="shared" si="40"/>
        <v>2461094</v>
      </c>
      <c r="BU125" s="892"/>
      <c r="BV125" s="892"/>
      <c r="BW125" s="892"/>
      <c r="BX125" s="892"/>
      <c r="BY125" s="891">
        <f t="shared" si="37"/>
        <v>358906</v>
      </c>
      <c r="CA125" s="805">
        <f t="shared" si="41"/>
        <v>16</v>
      </c>
      <c r="CB125" s="888">
        <f t="shared" si="42"/>
        <v>50156.5714285714</v>
      </c>
      <c r="CC125" s="892"/>
      <c r="CD125" s="892"/>
      <c r="CE125" s="892"/>
      <c r="CF125" s="888">
        <f t="shared" si="38"/>
        <v>9843.4285714286</v>
      </c>
      <c r="CG125" s="892"/>
    </row>
    <row r="126" s="803" customFormat="1" ht="31" customHeight="1" spans="1:85">
      <c r="A126" s="834">
        <v>45806</v>
      </c>
      <c r="B126" s="835" t="s">
        <v>1627</v>
      </c>
      <c r="C126" s="839" t="s">
        <v>934</v>
      </c>
      <c r="D126" s="837">
        <v>4500168463</v>
      </c>
      <c r="E126" s="835"/>
      <c r="F126" s="837" t="s">
        <v>1631</v>
      </c>
      <c r="G126" s="838" t="s">
        <v>1155</v>
      </c>
      <c r="H126" s="838" t="s">
        <v>1140</v>
      </c>
      <c r="I126" s="838">
        <v>150</v>
      </c>
      <c r="J126" s="838">
        <v>0</v>
      </c>
      <c r="K126" s="838">
        <v>50</v>
      </c>
      <c r="L126" s="847">
        <f t="shared" si="43"/>
        <v>3</v>
      </c>
      <c r="M126" s="848">
        <v>45840</v>
      </c>
      <c r="N126" s="848">
        <f t="shared" si="58"/>
        <v>45836</v>
      </c>
      <c r="O126" s="849"/>
      <c r="P126" s="850" t="s">
        <v>46</v>
      </c>
      <c r="Q126" s="838"/>
      <c r="R126" s="862">
        <v>45814</v>
      </c>
      <c r="S126" s="838" t="s">
        <v>58</v>
      </c>
      <c r="T126" s="863">
        <v>45813</v>
      </c>
      <c r="U126" s="864" t="s">
        <v>1629</v>
      </c>
      <c r="V126" s="848" t="s">
        <v>938</v>
      </c>
      <c r="W126" s="865">
        <v>1.9605</v>
      </c>
      <c r="X126" s="866">
        <f>I126*W126</f>
        <v>294.075</v>
      </c>
      <c r="Y126" s="838" t="s">
        <v>1632</v>
      </c>
      <c r="Z126" s="838" t="s">
        <v>1160</v>
      </c>
      <c r="AA126" s="838" t="s">
        <v>53</v>
      </c>
      <c r="AB126" s="873" t="s">
        <v>54</v>
      </c>
      <c r="AC126" s="838"/>
      <c r="AD126" s="874">
        <v>150</v>
      </c>
      <c r="AE126" s="874">
        <f t="shared" si="51"/>
        <v>0</v>
      </c>
      <c r="AF126" s="875"/>
      <c r="AG126" s="838" t="s">
        <v>55</v>
      </c>
      <c r="AH126" s="838"/>
      <c r="AI126" s="838">
        <f t="shared" si="57"/>
        <v>150</v>
      </c>
      <c r="AJ126" s="838"/>
      <c r="AK126" s="838"/>
      <c r="AN126" s="838">
        <f>I126*2</f>
        <v>300</v>
      </c>
      <c r="AO126" s="838"/>
      <c r="AQ126" s="838">
        <f>I126*2</f>
        <v>300</v>
      </c>
      <c r="AR126" s="838"/>
      <c r="AS126" s="838"/>
      <c r="AT126" s="838"/>
      <c r="BD126" s="803">
        <f>I126/25</f>
        <v>6</v>
      </c>
      <c r="BS126" s="888">
        <f t="shared" si="39"/>
        <v>150</v>
      </c>
      <c r="BT126" s="889">
        <f t="shared" si="40"/>
        <v>2461244</v>
      </c>
      <c r="BU126" s="892"/>
      <c r="BV126" s="892"/>
      <c r="BW126" s="892"/>
      <c r="BX126" s="892"/>
      <c r="BY126" s="891">
        <f t="shared" si="37"/>
        <v>358756</v>
      </c>
      <c r="CA126" s="805">
        <f t="shared" si="41"/>
        <v>6</v>
      </c>
      <c r="CB126" s="888">
        <f t="shared" si="42"/>
        <v>50162.5714285714</v>
      </c>
      <c r="CC126" s="892"/>
      <c r="CD126" s="892"/>
      <c r="CE126" s="892"/>
      <c r="CF126" s="888">
        <f t="shared" si="38"/>
        <v>9837.4285714286</v>
      </c>
      <c r="CG126" s="892"/>
    </row>
    <row r="127" s="803" customFormat="1" ht="31" hidden="1" customHeight="1" spans="1:85">
      <c r="A127" s="834">
        <v>45805</v>
      </c>
      <c r="B127" s="835" t="s">
        <v>1544</v>
      </c>
      <c r="C127" s="839" t="s">
        <v>716</v>
      </c>
      <c r="D127" s="837">
        <v>4500168205</v>
      </c>
      <c r="E127" s="835" t="s">
        <v>1633</v>
      </c>
      <c r="F127" s="837" t="s">
        <v>1634</v>
      </c>
      <c r="G127" s="838" t="s">
        <v>1147</v>
      </c>
      <c r="H127" s="838" t="s">
        <v>1148</v>
      </c>
      <c r="I127" s="838">
        <v>120</v>
      </c>
      <c r="J127" s="838">
        <v>0</v>
      </c>
      <c r="K127" s="838">
        <v>12</v>
      </c>
      <c r="L127" s="847">
        <f t="shared" si="43"/>
        <v>10</v>
      </c>
      <c r="M127" s="848">
        <v>45842</v>
      </c>
      <c r="N127" s="848">
        <f t="shared" si="58"/>
        <v>45838</v>
      </c>
      <c r="O127" s="849"/>
      <c r="P127" s="850" t="s">
        <v>46</v>
      </c>
      <c r="Q127" s="838"/>
      <c r="R127" s="862">
        <v>45805</v>
      </c>
      <c r="S127" s="838" t="s">
        <v>48</v>
      </c>
      <c r="T127" s="863" t="s">
        <v>1635</v>
      </c>
      <c r="U127" s="864" t="s">
        <v>1636</v>
      </c>
      <c r="V127" s="848" t="s">
        <v>721</v>
      </c>
      <c r="W127" s="865">
        <v>4.1214</v>
      </c>
      <c r="X127" s="866">
        <f>I127*W127</f>
        <v>494.568</v>
      </c>
      <c r="Y127" s="838" t="s">
        <v>1637</v>
      </c>
      <c r="Z127" s="838" t="s">
        <v>1549</v>
      </c>
      <c r="AA127" s="838" t="s">
        <v>53</v>
      </c>
      <c r="AB127" s="873" t="s">
        <v>54</v>
      </c>
      <c r="AC127" s="838"/>
      <c r="AD127" s="874">
        <f>12+108</f>
        <v>120</v>
      </c>
      <c r="AE127" s="874">
        <f t="shared" si="51"/>
        <v>0</v>
      </c>
      <c r="AF127" s="875"/>
      <c r="AG127" s="838" t="s">
        <v>55</v>
      </c>
      <c r="AH127" s="838"/>
      <c r="AI127" s="838">
        <f>I127*2</f>
        <v>240</v>
      </c>
      <c r="AJ127" s="838"/>
      <c r="AK127" s="838"/>
      <c r="AN127" s="838">
        <f>I127*2</f>
        <v>240</v>
      </c>
      <c r="AO127" s="838"/>
      <c r="AQ127" s="838">
        <f>I127*2</f>
        <v>240</v>
      </c>
      <c r="AR127" s="838"/>
      <c r="AS127" s="838"/>
      <c r="AT127" s="838"/>
      <c r="BL127" s="803">
        <f>I127</f>
        <v>120</v>
      </c>
      <c r="BM127" s="803">
        <f>I127</f>
        <v>120</v>
      </c>
      <c r="BO127" s="803">
        <f>I127</f>
        <v>120</v>
      </c>
      <c r="BS127" s="888">
        <f t="shared" si="39"/>
        <v>240</v>
      </c>
      <c r="BT127" s="889">
        <f t="shared" si="40"/>
        <v>2461484</v>
      </c>
      <c r="BU127" s="892"/>
      <c r="BV127" s="892"/>
      <c r="BW127" s="892"/>
      <c r="BX127" s="892"/>
      <c r="BY127" s="891">
        <f t="shared" si="37"/>
        <v>358516</v>
      </c>
      <c r="CA127" s="805">
        <f t="shared" si="41"/>
        <v>0</v>
      </c>
      <c r="CB127" s="888">
        <f t="shared" si="42"/>
        <v>50162.5714285714</v>
      </c>
      <c r="CC127" s="892"/>
      <c r="CD127" s="892"/>
      <c r="CE127" s="892"/>
      <c r="CF127" s="888">
        <f t="shared" si="38"/>
        <v>9837.4285714286</v>
      </c>
      <c r="CG127" s="892"/>
    </row>
    <row r="128" s="803" customFormat="1" ht="31" customHeight="1" spans="1:85">
      <c r="A128" s="834">
        <v>45847</v>
      </c>
      <c r="B128" s="835" t="s">
        <v>933</v>
      </c>
      <c r="C128" s="839" t="s">
        <v>934</v>
      </c>
      <c r="D128" s="837">
        <v>4500173135</v>
      </c>
      <c r="E128" s="835"/>
      <c r="F128" s="837" t="s">
        <v>1638</v>
      </c>
      <c r="G128" s="838" t="s">
        <v>1155</v>
      </c>
      <c r="H128" s="838" t="s">
        <v>1140</v>
      </c>
      <c r="I128" s="838">
        <v>200</v>
      </c>
      <c r="J128" s="838">
        <v>0</v>
      </c>
      <c r="K128" s="838">
        <v>50</v>
      </c>
      <c r="L128" s="847">
        <f t="shared" si="43"/>
        <v>4</v>
      </c>
      <c r="M128" s="848">
        <v>45840</v>
      </c>
      <c r="N128" s="848">
        <f t="shared" si="58"/>
        <v>45836</v>
      </c>
      <c r="O128" s="849"/>
      <c r="P128" s="850" t="s">
        <v>46</v>
      </c>
      <c r="Q128" s="838" t="s">
        <v>1639</v>
      </c>
      <c r="R128" s="862">
        <v>45814</v>
      </c>
      <c r="S128" s="838" t="s">
        <v>58</v>
      </c>
      <c r="T128" s="863">
        <v>45813</v>
      </c>
      <c r="U128" s="864" t="s">
        <v>1640</v>
      </c>
      <c r="V128" s="848" t="s">
        <v>938</v>
      </c>
      <c r="W128" s="865">
        <v>1.9605</v>
      </c>
      <c r="X128" s="866">
        <f>I128*W128</f>
        <v>392.1</v>
      </c>
      <c r="Y128" s="838" t="s">
        <v>1641</v>
      </c>
      <c r="Z128" s="838" t="s">
        <v>1160</v>
      </c>
      <c r="AA128" s="838" t="s">
        <v>53</v>
      </c>
      <c r="AB128" s="873" t="s">
        <v>1642</v>
      </c>
      <c r="AC128" s="838"/>
      <c r="AD128" s="874"/>
      <c r="AE128" s="874"/>
      <c r="AF128" s="875"/>
      <c r="AG128" s="838"/>
      <c r="AH128" s="838"/>
      <c r="AI128" s="838">
        <f>I128</f>
        <v>200</v>
      </c>
      <c r="AJ128" s="838"/>
      <c r="AK128" s="838"/>
      <c r="AN128" s="838">
        <f>I128</f>
        <v>200</v>
      </c>
      <c r="AO128" s="838"/>
      <c r="AQ128" s="838">
        <f>I128</f>
        <v>200</v>
      </c>
      <c r="AR128" s="838"/>
      <c r="AS128" s="838"/>
      <c r="AT128" s="838"/>
      <c r="BD128" s="803">
        <f>I128/25</f>
        <v>8</v>
      </c>
      <c r="BS128" s="888">
        <f t="shared" si="39"/>
        <v>200</v>
      </c>
      <c r="BT128" s="889">
        <f t="shared" si="40"/>
        <v>2461684</v>
      </c>
      <c r="BU128" s="892"/>
      <c r="BV128" s="892"/>
      <c r="BW128" s="892"/>
      <c r="BX128" s="892"/>
      <c r="BY128" s="891">
        <f t="shared" si="37"/>
        <v>358316</v>
      </c>
      <c r="CA128" s="805">
        <f t="shared" si="41"/>
        <v>8</v>
      </c>
      <c r="CB128" s="888">
        <f t="shared" si="42"/>
        <v>50170.5714285714</v>
      </c>
      <c r="CC128" s="892"/>
      <c r="CD128" s="892"/>
      <c r="CE128" s="892"/>
      <c r="CF128" s="888">
        <f t="shared" si="38"/>
        <v>9829.4285714286</v>
      </c>
      <c r="CG128" s="892"/>
    </row>
    <row r="129" s="803" customFormat="1" ht="31" hidden="1" customHeight="1" spans="1:85">
      <c r="A129" s="834">
        <v>45835</v>
      </c>
      <c r="B129" s="835"/>
      <c r="C129" s="839"/>
      <c r="D129" s="837" t="s">
        <v>1643</v>
      </c>
      <c r="E129" s="835"/>
      <c r="F129" s="837"/>
      <c r="G129" s="838" t="s">
        <v>1163</v>
      </c>
      <c r="H129" s="838" t="s">
        <v>1140</v>
      </c>
      <c r="I129" s="838" t="s">
        <v>1644</v>
      </c>
      <c r="J129" s="838">
        <v>0</v>
      </c>
      <c r="K129" s="838">
        <v>24</v>
      </c>
      <c r="L129" s="847" t="e">
        <f t="shared" si="43"/>
        <v>#VALUE!</v>
      </c>
      <c r="M129" s="848">
        <v>45847</v>
      </c>
      <c r="N129" s="848">
        <v>45843</v>
      </c>
      <c r="O129" s="849"/>
      <c r="P129" s="850"/>
      <c r="Q129" s="838"/>
      <c r="R129" s="862">
        <v>45835</v>
      </c>
      <c r="S129" s="838" t="s">
        <v>58</v>
      </c>
      <c r="T129" s="863" t="s">
        <v>58</v>
      </c>
      <c r="U129" s="864" t="s">
        <v>1645</v>
      </c>
      <c r="V129" s="848" t="s">
        <v>1466</v>
      </c>
      <c r="W129" s="865"/>
      <c r="X129" s="866"/>
      <c r="Y129" s="838" t="s">
        <v>1646</v>
      </c>
      <c r="Z129" s="838"/>
      <c r="AA129" s="838"/>
      <c r="AB129" s="873"/>
      <c r="AC129" s="838"/>
      <c r="AD129" s="874">
        <v>15</v>
      </c>
      <c r="AE129" s="874">
        <v>0</v>
      </c>
      <c r="AF129" s="875"/>
      <c r="AG129" s="838"/>
      <c r="AH129" s="838"/>
      <c r="AI129" s="838"/>
      <c r="AJ129" s="838"/>
      <c r="AK129" s="838"/>
      <c r="AN129" s="838"/>
      <c r="AO129" s="838"/>
      <c r="AQ129" s="838">
        <v>15</v>
      </c>
      <c r="AR129" s="838"/>
      <c r="AS129" s="838"/>
      <c r="AT129" s="838"/>
      <c r="BS129" s="888">
        <f t="shared" si="39"/>
        <v>0</v>
      </c>
      <c r="BT129" s="889">
        <f t="shared" si="40"/>
        <v>2461684</v>
      </c>
      <c r="BU129" s="892"/>
      <c r="BV129" s="892"/>
      <c r="BW129" s="892"/>
      <c r="BX129" s="892"/>
      <c r="BY129" s="891">
        <f t="shared" si="37"/>
        <v>358316</v>
      </c>
      <c r="CA129" s="805">
        <f t="shared" si="41"/>
        <v>0</v>
      </c>
      <c r="CB129" s="888">
        <f t="shared" si="42"/>
        <v>50170.5714285714</v>
      </c>
      <c r="CC129" s="892"/>
      <c r="CD129" s="892"/>
      <c r="CE129" s="892"/>
      <c r="CF129" s="888">
        <f t="shared" si="38"/>
        <v>9829.4285714286</v>
      </c>
      <c r="CG129" s="892"/>
    </row>
    <row r="130" s="803" customFormat="1" ht="31" hidden="1" customHeight="1" spans="1:85">
      <c r="A130" s="834">
        <v>45758</v>
      </c>
      <c r="B130" s="835" t="s">
        <v>1647</v>
      </c>
      <c r="C130" s="839" t="s">
        <v>610</v>
      </c>
      <c r="D130" s="837">
        <v>4500163216</v>
      </c>
      <c r="E130" s="835" t="s">
        <v>1648</v>
      </c>
      <c r="F130" s="837" t="s">
        <v>1649</v>
      </c>
      <c r="G130" s="838" t="s">
        <v>1181</v>
      </c>
      <c r="H130" s="838" t="s">
        <v>1140</v>
      </c>
      <c r="I130" s="838">
        <v>2171</v>
      </c>
      <c r="J130" s="838">
        <v>0</v>
      </c>
      <c r="K130" s="838">
        <v>13</v>
      </c>
      <c r="L130" s="847">
        <f t="shared" si="43"/>
        <v>167</v>
      </c>
      <c r="M130" s="848">
        <v>45846</v>
      </c>
      <c r="N130" s="848">
        <v>45842</v>
      </c>
      <c r="O130" s="849"/>
      <c r="P130" s="850" t="s">
        <v>46</v>
      </c>
      <c r="Q130" s="838"/>
      <c r="R130" s="862">
        <v>45758</v>
      </c>
      <c r="S130" s="838" t="s">
        <v>48</v>
      </c>
      <c r="T130" s="863">
        <v>45792</v>
      </c>
      <c r="U130" s="864" t="s">
        <v>1650</v>
      </c>
      <c r="V130" s="848" t="s">
        <v>1512</v>
      </c>
      <c r="W130" s="865">
        <v>1.9068</v>
      </c>
      <c r="X130" s="866">
        <f>I130*W130</f>
        <v>4139.6628</v>
      </c>
      <c r="Y130" s="838" t="s">
        <v>1651</v>
      </c>
      <c r="Z130" s="838" t="s">
        <v>1181</v>
      </c>
      <c r="AA130" s="838" t="s">
        <v>53</v>
      </c>
      <c r="AB130" s="873" t="s">
        <v>54</v>
      </c>
      <c r="AC130" s="838"/>
      <c r="AD130" s="874">
        <v>2171</v>
      </c>
      <c r="AE130" s="874">
        <f>AD130-I130</f>
        <v>0</v>
      </c>
      <c r="AF130" s="875"/>
      <c r="AG130" s="838"/>
      <c r="AH130" s="838"/>
      <c r="AI130" s="838">
        <f>I130</f>
        <v>2171</v>
      </c>
      <c r="AJ130" s="838"/>
      <c r="AK130" s="838">
        <f>I130</f>
        <v>2171</v>
      </c>
      <c r="AN130" s="838"/>
      <c r="AO130" s="838"/>
      <c r="AQ130" s="838">
        <f>I130</f>
        <v>2171</v>
      </c>
      <c r="AR130" s="838"/>
      <c r="AS130" s="838"/>
      <c r="AT130" s="838"/>
      <c r="BA130" s="803">
        <f>I130/13</f>
        <v>167</v>
      </c>
      <c r="BS130" s="888">
        <f t="shared" si="39"/>
        <v>2171</v>
      </c>
      <c r="BT130" s="889">
        <f t="shared" si="40"/>
        <v>2463855</v>
      </c>
      <c r="BU130" s="892"/>
      <c r="BV130" s="892"/>
      <c r="BW130" s="892"/>
      <c r="BX130" s="892"/>
      <c r="BY130" s="891">
        <f t="shared" si="37"/>
        <v>356145</v>
      </c>
      <c r="CA130" s="805">
        <f t="shared" si="41"/>
        <v>0</v>
      </c>
      <c r="CB130" s="888">
        <f t="shared" si="42"/>
        <v>50170.5714285714</v>
      </c>
      <c r="CC130" s="892"/>
      <c r="CD130" s="892"/>
      <c r="CE130" s="892"/>
      <c r="CF130" s="888">
        <f t="shared" si="38"/>
        <v>9829.4285714286</v>
      </c>
      <c r="CG130" s="892"/>
    </row>
    <row r="131" s="803" customFormat="1" ht="31" hidden="1" customHeight="1" spans="1:85">
      <c r="A131" s="834">
        <v>45811</v>
      </c>
      <c r="B131" s="835" t="s">
        <v>1507</v>
      </c>
      <c r="C131" s="839" t="s">
        <v>1508</v>
      </c>
      <c r="D131" s="837">
        <v>4500168730</v>
      </c>
      <c r="E131" s="835"/>
      <c r="F131" s="837" t="s">
        <v>1652</v>
      </c>
      <c r="G131" s="838" t="s">
        <v>1139</v>
      </c>
      <c r="H131" s="838" t="s">
        <v>1140</v>
      </c>
      <c r="I131" s="838">
        <v>1040</v>
      </c>
      <c r="J131" s="838">
        <v>0</v>
      </c>
      <c r="K131" s="838">
        <v>52</v>
      </c>
      <c r="L131" s="847">
        <f t="shared" si="43"/>
        <v>20</v>
      </c>
      <c r="M131" s="848">
        <v>45848</v>
      </c>
      <c r="N131" s="848">
        <v>45845</v>
      </c>
      <c r="O131" s="849"/>
      <c r="P131" s="850" t="s">
        <v>46</v>
      </c>
      <c r="Q131" s="838"/>
      <c r="R131" s="862">
        <v>45814</v>
      </c>
      <c r="S131" s="838" t="s">
        <v>58</v>
      </c>
      <c r="T131" s="863">
        <v>45826</v>
      </c>
      <c r="U131" s="864" t="s">
        <v>1653</v>
      </c>
      <c r="V131" s="848" t="s">
        <v>1512</v>
      </c>
      <c r="W131" s="865">
        <v>1.8632</v>
      </c>
      <c r="X131" s="866">
        <f>I131*W131</f>
        <v>1937.728</v>
      </c>
      <c r="Y131" s="838" t="s">
        <v>1654</v>
      </c>
      <c r="Z131" s="838" t="s">
        <v>1139</v>
      </c>
      <c r="AA131" s="838" t="s">
        <v>53</v>
      </c>
      <c r="AB131" s="873" t="s">
        <v>54</v>
      </c>
      <c r="AC131" s="838"/>
      <c r="AD131" s="874">
        <v>1040</v>
      </c>
      <c r="AE131" s="874">
        <f>AD131-I131</f>
        <v>0</v>
      </c>
      <c r="AF131" s="875"/>
      <c r="AG131" s="838" t="s">
        <v>55</v>
      </c>
      <c r="AH131" s="838"/>
      <c r="AI131" s="838">
        <f>I131</f>
        <v>1040</v>
      </c>
      <c r="AJ131" s="838"/>
      <c r="AK131" s="838">
        <f>I131</f>
        <v>1040</v>
      </c>
      <c r="AN131" s="838"/>
      <c r="AO131" s="838"/>
      <c r="AQ131" s="838">
        <f>I131</f>
        <v>1040</v>
      </c>
      <c r="AR131" s="838"/>
      <c r="AS131" s="838"/>
      <c r="AT131" s="838"/>
      <c r="BA131" s="803">
        <f>I131/13</f>
        <v>80</v>
      </c>
      <c r="BS131" s="888">
        <f t="shared" si="39"/>
        <v>1040</v>
      </c>
      <c r="BT131" s="889">
        <f t="shared" si="40"/>
        <v>2464895</v>
      </c>
      <c r="BU131" s="892"/>
      <c r="BV131" s="892"/>
      <c r="BW131" s="892"/>
      <c r="BX131" s="892"/>
      <c r="BY131" s="891">
        <f t="shared" ref="BY131:BY194" si="59">SUM(BV$1:BZ$1)-BT131</f>
        <v>355105</v>
      </c>
      <c r="CA131" s="805">
        <f t="shared" si="41"/>
        <v>0</v>
      </c>
      <c r="CB131" s="888">
        <f t="shared" si="42"/>
        <v>50170.5714285714</v>
      </c>
      <c r="CC131" s="892"/>
      <c r="CD131" s="892"/>
      <c r="CE131" s="892"/>
      <c r="CF131" s="888">
        <f t="shared" ref="CF131:CF194" si="60">$CD$1+$CE$1+$CF$1+$CG$1-CB131</f>
        <v>9829.4285714286</v>
      </c>
      <c r="CG131" s="892"/>
    </row>
    <row r="132" s="803" customFormat="1" ht="31" customHeight="1" spans="1:85">
      <c r="A132" s="834">
        <v>45814</v>
      </c>
      <c r="B132" s="835" t="s">
        <v>1655</v>
      </c>
      <c r="C132" s="839" t="s">
        <v>1622</v>
      </c>
      <c r="D132" s="837">
        <v>4500169123</v>
      </c>
      <c r="E132" s="835"/>
      <c r="F132" s="837" t="s">
        <v>1656</v>
      </c>
      <c r="G132" s="838" t="s">
        <v>1155</v>
      </c>
      <c r="H132" s="838" t="s">
        <v>1140</v>
      </c>
      <c r="I132" s="838">
        <v>1200</v>
      </c>
      <c r="J132" s="838">
        <v>0</v>
      </c>
      <c r="K132" s="838">
        <v>50</v>
      </c>
      <c r="L132" s="847">
        <f t="shared" si="43"/>
        <v>24</v>
      </c>
      <c r="M132" s="848">
        <v>45849</v>
      </c>
      <c r="N132" s="848">
        <v>45845</v>
      </c>
      <c r="O132" s="849"/>
      <c r="P132" s="850" t="s">
        <v>46</v>
      </c>
      <c r="Q132" s="838"/>
      <c r="R132" s="862">
        <v>45814</v>
      </c>
      <c r="S132" s="838" t="s">
        <v>58</v>
      </c>
      <c r="T132" s="863" t="s">
        <v>1657</v>
      </c>
      <c r="U132" s="864" t="s">
        <v>1658</v>
      </c>
      <c r="V132" s="848" t="s">
        <v>238</v>
      </c>
      <c r="W132" s="865">
        <v>1.9438</v>
      </c>
      <c r="X132" s="866">
        <f>I132*W132</f>
        <v>2332.56</v>
      </c>
      <c r="Y132" s="838" t="s">
        <v>1659</v>
      </c>
      <c r="Z132" s="838" t="s">
        <v>1160</v>
      </c>
      <c r="AA132" s="838" t="s">
        <v>53</v>
      </c>
      <c r="AB132" s="873" t="s">
        <v>54</v>
      </c>
      <c r="AC132" s="838"/>
      <c r="AD132" s="874">
        <v>1200</v>
      </c>
      <c r="AE132" s="874">
        <f>AD132-I132</f>
        <v>0</v>
      </c>
      <c r="AF132" s="875"/>
      <c r="AG132" s="838" t="s">
        <v>55</v>
      </c>
      <c r="AH132" s="838"/>
      <c r="AI132" s="838">
        <f>I132</f>
        <v>1200</v>
      </c>
      <c r="AJ132" s="838"/>
      <c r="AK132" s="838"/>
      <c r="AN132" s="838">
        <f>I132</f>
        <v>1200</v>
      </c>
      <c r="AO132" s="838"/>
      <c r="AQ132" s="838">
        <f>I132</f>
        <v>1200</v>
      </c>
      <c r="AR132" s="838"/>
      <c r="AS132" s="838"/>
      <c r="AT132" s="838"/>
      <c r="BD132" s="803">
        <f>I132/25</f>
        <v>48</v>
      </c>
      <c r="BS132" s="888">
        <f t="shared" ref="BS132:BS195" si="61">AI132+AJ132</f>
        <v>1200</v>
      </c>
      <c r="BT132" s="889">
        <f t="shared" ref="BT132:BT195" si="62">BT131+BS132</f>
        <v>2466095</v>
      </c>
      <c r="BU132" s="892"/>
      <c r="BV132" s="892"/>
      <c r="BW132" s="892"/>
      <c r="BX132" s="892"/>
      <c r="BY132" s="891">
        <f t="shared" si="59"/>
        <v>353905</v>
      </c>
      <c r="CA132" s="805">
        <f t="shared" ref="CA132:CA195" si="63">AU132+AV132+BC132+BD132</f>
        <v>48</v>
      </c>
      <c r="CB132" s="888">
        <f t="shared" ref="CB132:CB195" si="64">CB131+CA132</f>
        <v>50218.5714285714</v>
      </c>
      <c r="CC132" s="892"/>
      <c r="CD132" s="892"/>
      <c r="CE132" s="892"/>
      <c r="CF132" s="888">
        <f t="shared" si="60"/>
        <v>9781.4285714286</v>
      </c>
      <c r="CG132" s="892"/>
    </row>
    <row r="133" s="803" customFormat="1" ht="31" hidden="1" customHeight="1" spans="1:85">
      <c r="A133" s="834">
        <v>45828</v>
      </c>
      <c r="B133" s="835" t="s">
        <v>83</v>
      </c>
      <c r="C133" s="839" t="s">
        <v>84</v>
      </c>
      <c r="D133" s="837">
        <v>4500169495</v>
      </c>
      <c r="E133" s="835">
        <v>5200007003</v>
      </c>
      <c r="F133" s="837" t="s">
        <v>1660</v>
      </c>
      <c r="G133" s="838" t="s">
        <v>1661</v>
      </c>
      <c r="H133" s="838"/>
      <c r="I133" s="838">
        <v>456</v>
      </c>
      <c r="J133" s="838">
        <v>0</v>
      </c>
      <c r="K133" s="838">
        <v>24</v>
      </c>
      <c r="L133" s="847">
        <f t="shared" si="43"/>
        <v>19</v>
      </c>
      <c r="M133" s="848">
        <v>45855</v>
      </c>
      <c r="N133" s="848">
        <v>45852</v>
      </c>
      <c r="O133" s="849"/>
      <c r="P133" s="850" t="s">
        <v>46</v>
      </c>
      <c r="Q133" s="838"/>
      <c r="R133" s="862" t="s">
        <v>1662</v>
      </c>
      <c r="S133" s="838" t="s">
        <v>58</v>
      </c>
      <c r="T133" s="863" t="s">
        <v>58</v>
      </c>
      <c r="U133" s="864" t="s">
        <v>1663</v>
      </c>
      <c r="V133" s="848" t="s">
        <v>89</v>
      </c>
      <c r="W133" s="865">
        <v>1.098</v>
      </c>
      <c r="X133" s="866">
        <f t="shared" ref="X133:X142" si="65">I133*W133</f>
        <v>500.688</v>
      </c>
      <c r="Y133" s="838" t="s">
        <v>90</v>
      </c>
      <c r="Z133" s="838" t="s">
        <v>1163</v>
      </c>
      <c r="AA133" s="838" t="s">
        <v>53</v>
      </c>
      <c r="AB133" s="873" t="s">
        <v>54</v>
      </c>
      <c r="AC133" s="838"/>
      <c r="AD133" s="874">
        <v>456</v>
      </c>
      <c r="AE133" s="874">
        <f t="shared" ref="AE133:AE157" si="66">AD133-I133</f>
        <v>0</v>
      </c>
      <c r="AF133" s="875"/>
      <c r="AG133" s="838" t="s">
        <v>58</v>
      </c>
      <c r="AH133" s="838"/>
      <c r="AI133" s="838">
        <f>I133</f>
        <v>456</v>
      </c>
      <c r="AJ133" s="838"/>
      <c r="AK133" s="838">
        <f>I133</f>
        <v>456</v>
      </c>
      <c r="AN133" s="838"/>
      <c r="AO133" s="838"/>
      <c r="AQ133" s="838">
        <f>I133</f>
        <v>456</v>
      </c>
      <c r="AR133" s="838"/>
      <c r="AS133" s="838"/>
      <c r="AT133" s="838"/>
      <c r="BS133" s="888">
        <f t="shared" si="61"/>
        <v>456</v>
      </c>
      <c r="BT133" s="889">
        <f t="shared" si="62"/>
        <v>2466551</v>
      </c>
      <c r="BU133" s="892"/>
      <c r="BV133" s="892"/>
      <c r="BW133" s="892"/>
      <c r="BX133" s="892"/>
      <c r="BY133" s="891">
        <f t="shared" si="59"/>
        <v>353449</v>
      </c>
      <c r="CA133" s="805">
        <f t="shared" si="63"/>
        <v>0</v>
      </c>
      <c r="CB133" s="888">
        <f t="shared" si="64"/>
        <v>50218.5714285714</v>
      </c>
      <c r="CC133" s="892"/>
      <c r="CD133" s="892"/>
      <c r="CE133" s="892"/>
      <c r="CF133" s="888">
        <f t="shared" si="60"/>
        <v>9781.4285714286</v>
      </c>
      <c r="CG133" s="892"/>
    </row>
    <row r="134" s="803" customFormat="1" ht="31" hidden="1" customHeight="1" spans="1:85">
      <c r="A134" s="834">
        <v>45821</v>
      </c>
      <c r="B134" s="835" t="s">
        <v>715</v>
      </c>
      <c r="C134" s="839" t="s">
        <v>716</v>
      </c>
      <c r="D134" s="837">
        <v>4500169971</v>
      </c>
      <c r="E134" s="835" t="s">
        <v>1664</v>
      </c>
      <c r="F134" s="837" t="s">
        <v>1665</v>
      </c>
      <c r="G134" s="838" t="s">
        <v>1147</v>
      </c>
      <c r="H134" s="838" t="s">
        <v>1148</v>
      </c>
      <c r="I134" s="838">
        <v>12</v>
      </c>
      <c r="J134" s="838">
        <v>0</v>
      </c>
      <c r="K134" s="838">
        <v>12</v>
      </c>
      <c r="L134" s="847">
        <f t="shared" si="43"/>
        <v>1</v>
      </c>
      <c r="M134" s="848">
        <v>45856</v>
      </c>
      <c r="N134" s="848">
        <v>45852</v>
      </c>
      <c r="O134" s="849"/>
      <c r="P134" s="850" t="s">
        <v>46</v>
      </c>
      <c r="Q134" s="838"/>
      <c r="R134" s="862">
        <v>45821</v>
      </c>
      <c r="S134" s="838" t="s">
        <v>48</v>
      </c>
      <c r="T134" s="863" t="s">
        <v>1666</v>
      </c>
      <c r="U134" s="864" t="s">
        <v>1667</v>
      </c>
      <c r="V134" s="848" t="s">
        <v>721</v>
      </c>
      <c r="W134" s="865">
        <v>4.1214</v>
      </c>
      <c r="X134" s="866">
        <f t="shared" si="65"/>
        <v>49.4568</v>
      </c>
      <c r="Y134" s="838" t="s">
        <v>1668</v>
      </c>
      <c r="Z134" s="838" t="s">
        <v>1549</v>
      </c>
      <c r="AA134" s="838" t="s">
        <v>53</v>
      </c>
      <c r="AB134" s="873" t="s">
        <v>54</v>
      </c>
      <c r="AC134" s="838"/>
      <c r="AD134" s="874">
        <v>12</v>
      </c>
      <c r="AE134" s="874">
        <f t="shared" si="66"/>
        <v>0</v>
      </c>
      <c r="AF134" s="875"/>
      <c r="AG134" s="838"/>
      <c r="AH134" s="838"/>
      <c r="AI134" s="838"/>
      <c r="AJ134" s="838">
        <f t="shared" ref="AJ134:AJ142" si="67">I134</f>
        <v>12</v>
      </c>
      <c r="AK134" s="838"/>
      <c r="AN134" s="838">
        <f t="shared" ref="AN134:AN142" si="68">I134*2</f>
        <v>24</v>
      </c>
      <c r="AO134" s="838"/>
      <c r="AQ134" s="838">
        <f t="shared" ref="AQ134:AQ142" si="69">I134*2</f>
        <v>24</v>
      </c>
      <c r="AR134" s="838"/>
      <c r="AS134" s="838"/>
      <c r="AT134" s="838"/>
      <c r="BL134" s="803">
        <f t="shared" ref="BL134:BL142" si="70">I134</f>
        <v>12</v>
      </c>
      <c r="BM134" s="803">
        <f t="shared" ref="BM134:BM142" si="71">I134</f>
        <v>12</v>
      </c>
      <c r="BO134" s="803">
        <f t="shared" ref="BO134:BO142" si="72">I134</f>
        <v>12</v>
      </c>
      <c r="BS134" s="888">
        <f t="shared" si="61"/>
        <v>12</v>
      </c>
      <c r="BT134" s="889">
        <f t="shared" si="62"/>
        <v>2466563</v>
      </c>
      <c r="BU134" s="892"/>
      <c r="BV134" s="892"/>
      <c r="BW134" s="892"/>
      <c r="BX134" s="892"/>
      <c r="BY134" s="891">
        <f t="shared" si="59"/>
        <v>353437</v>
      </c>
      <c r="CA134" s="805">
        <f t="shared" si="63"/>
        <v>0</v>
      </c>
      <c r="CB134" s="888">
        <f t="shared" si="64"/>
        <v>50218.5714285714</v>
      </c>
      <c r="CC134" s="892"/>
      <c r="CD134" s="892"/>
      <c r="CE134" s="892"/>
      <c r="CF134" s="888">
        <f t="shared" si="60"/>
        <v>9781.4285714286</v>
      </c>
      <c r="CG134" s="892"/>
    </row>
    <row r="135" s="803" customFormat="1" ht="31" hidden="1" customHeight="1" spans="1:85">
      <c r="A135" s="834">
        <v>45821</v>
      </c>
      <c r="B135" s="835" t="s">
        <v>715</v>
      </c>
      <c r="C135" s="839" t="s">
        <v>716</v>
      </c>
      <c r="D135" s="837">
        <v>4500169971</v>
      </c>
      <c r="E135" s="835" t="s">
        <v>1669</v>
      </c>
      <c r="F135" s="837" t="s">
        <v>1670</v>
      </c>
      <c r="G135" s="838" t="s">
        <v>1147</v>
      </c>
      <c r="H135" s="838" t="s">
        <v>1148</v>
      </c>
      <c r="I135" s="838">
        <v>12</v>
      </c>
      <c r="J135" s="838">
        <v>0</v>
      </c>
      <c r="K135" s="838">
        <v>12</v>
      </c>
      <c r="L135" s="847">
        <f t="shared" si="43"/>
        <v>1</v>
      </c>
      <c r="M135" s="848">
        <v>45856</v>
      </c>
      <c r="N135" s="848">
        <v>45852</v>
      </c>
      <c r="O135" s="849"/>
      <c r="P135" s="850" t="s">
        <v>46</v>
      </c>
      <c r="Q135" s="838"/>
      <c r="R135" s="862">
        <v>45821</v>
      </c>
      <c r="S135" s="838" t="s">
        <v>48</v>
      </c>
      <c r="T135" s="863" t="s">
        <v>1666</v>
      </c>
      <c r="U135" s="864" t="s">
        <v>1667</v>
      </c>
      <c r="V135" s="848" t="s">
        <v>721</v>
      </c>
      <c r="W135" s="865">
        <v>4.1214</v>
      </c>
      <c r="X135" s="866">
        <f t="shared" si="65"/>
        <v>49.4568</v>
      </c>
      <c r="Y135" s="838" t="s">
        <v>1668</v>
      </c>
      <c r="Z135" s="838" t="s">
        <v>1549</v>
      </c>
      <c r="AA135" s="838" t="s">
        <v>53</v>
      </c>
      <c r="AB135" s="873" t="s">
        <v>54</v>
      </c>
      <c r="AC135" s="838"/>
      <c r="AD135" s="874">
        <v>12</v>
      </c>
      <c r="AE135" s="874">
        <f t="shared" si="66"/>
        <v>0</v>
      </c>
      <c r="AF135" s="875"/>
      <c r="AG135" s="838"/>
      <c r="AH135" s="838"/>
      <c r="AI135" s="838"/>
      <c r="AJ135" s="838">
        <f t="shared" si="67"/>
        <v>12</v>
      </c>
      <c r="AK135" s="838"/>
      <c r="AN135" s="838">
        <f t="shared" si="68"/>
        <v>24</v>
      </c>
      <c r="AO135" s="838"/>
      <c r="AQ135" s="838">
        <f t="shared" si="69"/>
        <v>24</v>
      </c>
      <c r="AR135" s="838"/>
      <c r="AS135" s="838"/>
      <c r="AT135" s="838"/>
      <c r="BL135" s="803">
        <f t="shared" si="70"/>
        <v>12</v>
      </c>
      <c r="BM135" s="803">
        <f t="shared" si="71"/>
        <v>12</v>
      </c>
      <c r="BO135" s="803">
        <f t="shared" si="72"/>
        <v>12</v>
      </c>
      <c r="BS135" s="888">
        <f t="shared" si="61"/>
        <v>12</v>
      </c>
      <c r="BT135" s="889">
        <f t="shared" si="62"/>
        <v>2466575</v>
      </c>
      <c r="BU135" s="892"/>
      <c r="BV135" s="892"/>
      <c r="BW135" s="892"/>
      <c r="BX135" s="892"/>
      <c r="BY135" s="891">
        <f t="shared" si="59"/>
        <v>353425</v>
      </c>
      <c r="CA135" s="805">
        <f t="shared" si="63"/>
        <v>0</v>
      </c>
      <c r="CB135" s="888">
        <f t="shared" si="64"/>
        <v>50218.5714285714</v>
      </c>
      <c r="CC135" s="892"/>
      <c r="CD135" s="892"/>
      <c r="CE135" s="892"/>
      <c r="CF135" s="888">
        <f t="shared" si="60"/>
        <v>9781.4285714286</v>
      </c>
      <c r="CG135" s="892"/>
    </row>
    <row r="136" s="803" customFormat="1" ht="31" hidden="1" customHeight="1" spans="1:85">
      <c r="A136" s="834">
        <v>45821</v>
      </c>
      <c r="B136" s="835" t="s">
        <v>715</v>
      </c>
      <c r="C136" s="839" t="s">
        <v>716</v>
      </c>
      <c r="D136" s="837">
        <v>4500169971</v>
      </c>
      <c r="E136" s="835" t="s">
        <v>1671</v>
      </c>
      <c r="F136" s="837" t="s">
        <v>1672</v>
      </c>
      <c r="G136" s="838" t="s">
        <v>1147</v>
      </c>
      <c r="H136" s="838" t="s">
        <v>1148</v>
      </c>
      <c r="I136" s="838">
        <v>12</v>
      </c>
      <c r="J136" s="838">
        <v>0</v>
      </c>
      <c r="K136" s="838">
        <v>12</v>
      </c>
      <c r="L136" s="847">
        <f t="shared" si="43"/>
        <v>1</v>
      </c>
      <c r="M136" s="848">
        <v>45856</v>
      </c>
      <c r="N136" s="848">
        <v>45852</v>
      </c>
      <c r="O136" s="849"/>
      <c r="P136" s="850" t="s">
        <v>46</v>
      </c>
      <c r="Q136" s="838"/>
      <c r="R136" s="862">
        <v>45821</v>
      </c>
      <c r="S136" s="838" t="s">
        <v>48</v>
      </c>
      <c r="T136" s="863" t="s">
        <v>1666</v>
      </c>
      <c r="U136" s="864" t="s">
        <v>1667</v>
      </c>
      <c r="V136" s="848" t="s">
        <v>721</v>
      </c>
      <c r="W136" s="865">
        <v>4.1214</v>
      </c>
      <c r="X136" s="866">
        <f t="shared" si="65"/>
        <v>49.4568</v>
      </c>
      <c r="Y136" s="838" t="s">
        <v>1668</v>
      </c>
      <c r="Z136" s="838" t="s">
        <v>1549</v>
      </c>
      <c r="AA136" s="838" t="s">
        <v>53</v>
      </c>
      <c r="AB136" s="873" t="s">
        <v>54</v>
      </c>
      <c r="AC136" s="838"/>
      <c r="AD136" s="874">
        <v>12</v>
      </c>
      <c r="AE136" s="874">
        <f t="shared" si="66"/>
        <v>0</v>
      </c>
      <c r="AF136" s="875"/>
      <c r="AG136" s="838"/>
      <c r="AH136" s="838"/>
      <c r="AI136" s="838"/>
      <c r="AJ136" s="838">
        <f t="shared" si="67"/>
        <v>12</v>
      </c>
      <c r="AK136" s="838"/>
      <c r="AN136" s="838">
        <f t="shared" si="68"/>
        <v>24</v>
      </c>
      <c r="AO136" s="838"/>
      <c r="AQ136" s="838">
        <f t="shared" si="69"/>
        <v>24</v>
      </c>
      <c r="AR136" s="838"/>
      <c r="AS136" s="838"/>
      <c r="AT136" s="838"/>
      <c r="BL136" s="803">
        <f t="shared" si="70"/>
        <v>12</v>
      </c>
      <c r="BM136" s="803">
        <f t="shared" si="71"/>
        <v>12</v>
      </c>
      <c r="BO136" s="803">
        <f t="shared" si="72"/>
        <v>12</v>
      </c>
      <c r="BS136" s="888">
        <f t="shared" si="61"/>
        <v>12</v>
      </c>
      <c r="BT136" s="889">
        <f t="shared" si="62"/>
        <v>2466587</v>
      </c>
      <c r="BU136" s="892"/>
      <c r="BV136" s="892"/>
      <c r="BW136" s="892"/>
      <c r="BX136" s="892"/>
      <c r="BY136" s="891">
        <f t="shared" si="59"/>
        <v>353413</v>
      </c>
      <c r="CA136" s="805">
        <f t="shared" si="63"/>
        <v>0</v>
      </c>
      <c r="CB136" s="888">
        <f t="shared" si="64"/>
        <v>50218.5714285714</v>
      </c>
      <c r="CC136" s="892"/>
      <c r="CD136" s="892"/>
      <c r="CE136" s="892"/>
      <c r="CF136" s="888">
        <f t="shared" si="60"/>
        <v>9781.4285714286</v>
      </c>
      <c r="CG136" s="892"/>
    </row>
    <row r="137" s="803" customFormat="1" ht="31" hidden="1" customHeight="1" spans="1:85">
      <c r="A137" s="834">
        <v>45821</v>
      </c>
      <c r="B137" s="835" t="s">
        <v>715</v>
      </c>
      <c r="C137" s="839" t="s">
        <v>716</v>
      </c>
      <c r="D137" s="837">
        <v>4500169971</v>
      </c>
      <c r="E137" s="835" t="s">
        <v>1673</v>
      </c>
      <c r="F137" s="837" t="s">
        <v>1674</v>
      </c>
      <c r="G137" s="838" t="s">
        <v>1147</v>
      </c>
      <c r="H137" s="838" t="s">
        <v>1148</v>
      </c>
      <c r="I137" s="838">
        <v>12</v>
      </c>
      <c r="J137" s="838">
        <v>0</v>
      </c>
      <c r="K137" s="838">
        <v>12</v>
      </c>
      <c r="L137" s="847">
        <f t="shared" ref="L137:L157" si="73">I137/K137</f>
        <v>1</v>
      </c>
      <c r="M137" s="848">
        <v>45856</v>
      </c>
      <c r="N137" s="848">
        <v>45852</v>
      </c>
      <c r="O137" s="849"/>
      <c r="P137" s="850" t="s">
        <v>46</v>
      </c>
      <c r="Q137" s="838"/>
      <c r="R137" s="862">
        <v>45821</v>
      </c>
      <c r="S137" s="838" t="s">
        <v>48</v>
      </c>
      <c r="T137" s="863" t="s">
        <v>1666</v>
      </c>
      <c r="U137" s="864" t="s">
        <v>1667</v>
      </c>
      <c r="V137" s="848" t="s">
        <v>721</v>
      </c>
      <c r="W137" s="865">
        <v>4.1214</v>
      </c>
      <c r="X137" s="866">
        <f t="shared" si="65"/>
        <v>49.4568</v>
      </c>
      <c r="Y137" s="838" t="s">
        <v>1668</v>
      </c>
      <c r="Z137" s="838" t="s">
        <v>1549</v>
      </c>
      <c r="AA137" s="838" t="s">
        <v>53</v>
      </c>
      <c r="AB137" s="873" t="s">
        <v>54</v>
      </c>
      <c r="AC137" s="838"/>
      <c r="AD137" s="874">
        <v>12</v>
      </c>
      <c r="AE137" s="874">
        <f t="shared" si="66"/>
        <v>0</v>
      </c>
      <c r="AF137" s="875"/>
      <c r="AG137" s="838"/>
      <c r="AH137" s="838"/>
      <c r="AI137" s="838"/>
      <c r="AJ137" s="838">
        <f t="shared" si="67"/>
        <v>12</v>
      </c>
      <c r="AK137" s="838"/>
      <c r="AN137" s="838">
        <f t="shared" si="68"/>
        <v>24</v>
      </c>
      <c r="AO137" s="838"/>
      <c r="AQ137" s="838">
        <f t="shared" si="69"/>
        <v>24</v>
      </c>
      <c r="AR137" s="838"/>
      <c r="AS137" s="838"/>
      <c r="AT137" s="838"/>
      <c r="BL137" s="803">
        <f t="shared" si="70"/>
        <v>12</v>
      </c>
      <c r="BM137" s="803">
        <f t="shared" si="71"/>
        <v>12</v>
      </c>
      <c r="BO137" s="803">
        <f t="shared" si="72"/>
        <v>12</v>
      </c>
      <c r="BS137" s="888">
        <f t="shared" si="61"/>
        <v>12</v>
      </c>
      <c r="BT137" s="889">
        <f t="shared" si="62"/>
        <v>2466599</v>
      </c>
      <c r="BU137" s="892"/>
      <c r="BV137" s="892"/>
      <c r="BW137" s="892"/>
      <c r="BX137" s="892"/>
      <c r="BY137" s="891">
        <f t="shared" si="59"/>
        <v>353401</v>
      </c>
      <c r="CA137" s="805">
        <f t="shared" si="63"/>
        <v>0</v>
      </c>
      <c r="CB137" s="888">
        <f t="shared" si="64"/>
        <v>50218.5714285714</v>
      </c>
      <c r="CC137" s="892"/>
      <c r="CD137" s="892"/>
      <c r="CE137" s="892"/>
      <c r="CF137" s="888">
        <f t="shared" si="60"/>
        <v>9781.4285714286</v>
      </c>
      <c r="CG137" s="892"/>
    </row>
    <row r="138" s="803" customFormat="1" ht="31" hidden="1" customHeight="1" spans="1:85">
      <c r="A138" s="834">
        <v>45824</v>
      </c>
      <c r="B138" s="835" t="s">
        <v>715</v>
      </c>
      <c r="C138" s="839" t="s">
        <v>716</v>
      </c>
      <c r="D138" s="837">
        <v>4500170137</v>
      </c>
      <c r="E138" s="835" t="s">
        <v>1675</v>
      </c>
      <c r="F138" s="837" t="s">
        <v>1676</v>
      </c>
      <c r="G138" s="838" t="s">
        <v>1147</v>
      </c>
      <c r="H138" s="838" t="s">
        <v>1148</v>
      </c>
      <c r="I138" s="838">
        <v>12</v>
      </c>
      <c r="J138" s="838">
        <v>0</v>
      </c>
      <c r="K138" s="838">
        <v>12</v>
      </c>
      <c r="L138" s="847">
        <f t="shared" si="73"/>
        <v>1</v>
      </c>
      <c r="M138" s="848">
        <v>45859</v>
      </c>
      <c r="N138" s="848">
        <v>45855</v>
      </c>
      <c r="O138" s="849"/>
      <c r="P138" s="850" t="s">
        <v>46</v>
      </c>
      <c r="Q138" s="838"/>
      <c r="R138" s="862">
        <v>45821</v>
      </c>
      <c r="S138" s="838" t="s">
        <v>48</v>
      </c>
      <c r="T138" s="863" t="s">
        <v>1666</v>
      </c>
      <c r="U138" s="864" t="s">
        <v>1677</v>
      </c>
      <c r="V138" s="848" t="s">
        <v>721</v>
      </c>
      <c r="W138" s="865">
        <v>4.0406</v>
      </c>
      <c r="X138" s="866">
        <f t="shared" si="65"/>
        <v>48.4872</v>
      </c>
      <c r="Y138" s="838" t="s">
        <v>1678</v>
      </c>
      <c r="Z138" s="838" t="s">
        <v>1549</v>
      </c>
      <c r="AA138" s="838" t="s">
        <v>53</v>
      </c>
      <c r="AB138" s="873" t="s">
        <v>54</v>
      </c>
      <c r="AC138" s="838"/>
      <c r="AD138" s="874">
        <v>12</v>
      </c>
      <c r="AE138" s="874">
        <f t="shared" si="66"/>
        <v>0</v>
      </c>
      <c r="AF138" s="875"/>
      <c r="AG138" s="838"/>
      <c r="AH138" s="838"/>
      <c r="AI138" s="838"/>
      <c r="AJ138" s="838">
        <f t="shared" si="67"/>
        <v>12</v>
      </c>
      <c r="AK138" s="838"/>
      <c r="AN138" s="838">
        <f t="shared" si="68"/>
        <v>24</v>
      </c>
      <c r="AO138" s="838"/>
      <c r="AQ138" s="838">
        <f t="shared" si="69"/>
        <v>24</v>
      </c>
      <c r="AR138" s="838"/>
      <c r="AS138" s="838"/>
      <c r="AT138" s="838"/>
      <c r="BL138" s="803">
        <f t="shared" si="70"/>
        <v>12</v>
      </c>
      <c r="BM138" s="803">
        <f t="shared" si="71"/>
        <v>12</v>
      </c>
      <c r="BO138" s="803">
        <f t="shared" si="72"/>
        <v>12</v>
      </c>
      <c r="BS138" s="888">
        <f t="shared" si="61"/>
        <v>12</v>
      </c>
      <c r="BT138" s="889">
        <f t="shared" si="62"/>
        <v>2466611</v>
      </c>
      <c r="BU138" s="892"/>
      <c r="BV138" s="892"/>
      <c r="BW138" s="892"/>
      <c r="BX138" s="892"/>
      <c r="BY138" s="891">
        <f t="shared" si="59"/>
        <v>353389</v>
      </c>
      <c r="CA138" s="805">
        <f t="shared" si="63"/>
        <v>0</v>
      </c>
      <c r="CB138" s="888">
        <f t="shared" si="64"/>
        <v>50218.5714285714</v>
      </c>
      <c r="CC138" s="892"/>
      <c r="CD138" s="892"/>
      <c r="CE138" s="892"/>
      <c r="CF138" s="888">
        <f t="shared" si="60"/>
        <v>9781.4285714286</v>
      </c>
      <c r="CG138" s="892"/>
    </row>
    <row r="139" s="803" customFormat="1" ht="31" hidden="1" customHeight="1" spans="1:85">
      <c r="A139" s="834">
        <v>45824</v>
      </c>
      <c r="B139" s="835" t="s">
        <v>715</v>
      </c>
      <c r="C139" s="839" t="s">
        <v>716</v>
      </c>
      <c r="D139" s="837">
        <v>4500170137</v>
      </c>
      <c r="E139" s="835" t="s">
        <v>1679</v>
      </c>
      <c r="F139" s="837" t="s">
        <v>1680</v>
      </c>
      <c r="G139" s="838" t="s">
        <v>1147</v>
      </c>
      <c r="H139" s="838" t="s">
        <v>1148</v>
      </c>
      <c r="I139" s="838">
        <v>12</v>
      </c>
      <c r="J139" s="838">
        <v>0</v>
      </c>
      <c r="K139" s="838">
        <v>12</v>
      </c>
      <c r="L139" s="847">
        <f t="shared" si="73"/>
        <v>1</v>
      </c>
      <c r="M139" s="848">
        <v>45859</v>
      </c>
      <c r="N139" s="848">
        <v>45855</v>
      </c>
      <c r="O139" s="849"/>
      <c r="P139" s="850" t="s">
        <v>46</v>
      </c>
      <c r="Q139" s="838"/>
      <c r="R139" s="862">
        <v>45821</v>
      </c>
      <c r="S139" s="838" t="s">
        <v>48</v>
      </c>
      <c r="T139" s="863" t="s">
        <v>1666</v>
      </c>
      <c r="U139" s="864" t="s">
        <v>1677</v>
      </c>
      <c r="V139" s="848" t="s">
        <v>721</v>
      </c>
      <c r="W139" s="865">
        <v>4.0406</v>
      </c>
      <c r="X139" s="866">
        <f t="shared" si="65"/>
        <v>48.4872</v>
      </c>
      <c r="Y139" s="838" t="s">
        <v>1678</v>
      </c>
      <c r="Z139" s="838" t="s">
        <v>1549</v>
      </c>
      <c r="AA139" s="838" t="s">
        <v>53</v>
      </c>
      <c r="AB139" s="873" t="s">
        <v>54</v>
      </c>
      <c r="AC139" s="838"/>
      <c r="AD139" s="874">
        <v>12</v>
      </c>
      <c r="AE139" s="874">
        <f t="shared" si="66"/>
        <v>0</v>
      </c>
      <c r="AF139" s="875"/>
      <c r="AG139" s="838"/>
      <c r="AH139" s="838"/>
      <c r="AI139" s="838"/>
      <c r="AJ139" s="838">
        <f t="shared" si="67"/>
        <v>12</v>
      </c>
      <c r="AK139" s="838"/>
      <c r="AN139" s="838">
        <f t="shared" si="68"/>
        <v>24</v>
      </c>
      <c r="AO139" s="838"/>
      <c r="AQ139" s="838">
        <f t="shared" si="69"/>
        <v>24</v>
      </c>
      <c r="AR139" s="838"/>
      <c r="AS139" s="838"/>
      <c r="AT139" s="838"/>
      <c r="BL139" s="803">
        <f t="shared" si="70"/>
        <v>12</v>
      </c>
      <c r="BM139" s="803">
        <f t="shared" si="71"/>
        <v>12</v>
      </c>
      <c r="BO139" s="803">
        <f t="shared" si="72"/>
        <v>12</v>
      </c>
      <c r="BS139" s="888">
        <f t="shared" si="61"/>
        <v>12</v>
      </c>
      <c r="BT139" s="889">
        <f t="shared" si="62"/>
        <v>2466623</v>
      </c>
      <c r="BU139" s="892"/>
      <c r="BV139" s="892"/>
      <c r="BW139" s="892"/>
      <c r="BX139" s="892"/>
      <c r="BY139" s="891">
        <f t="shared" si="59"/>
        <v>353377</v>
      </c>
      <c r="CA139" s="805">
        <f t="shared" si="63"/>
        <v>0</v>
      </c>
      <c r="CB139" s="888">
        <f t="shared" si="64"/>
        <v>50218.5714285714</v>
      </c>
      <c r="CC139" s="892"/>
      <c r="CD139" s="892"/>
      <c r="CE139" s="892"/>
      <c r="CF139" s="888">
        <f t="shared" si="60"/>
        <v>9781.4285714286</v>
      </c>
      <c r="CG139" s="892"/>
    </row>
    <row r="140" s="803" customFormat="1" ht="31" hidden="1" customHeight="1" spans="1:85">
      <c r="A140" s="834">
        <v>45824</v>
      </c>
      <c r="B140" s="835" t="s">
        <v>715</v>
      </c>
      <c r="C140" s="839" t="s">
        <v>716</v>
      </c>
      <c r="D140" s="837">
        <v>4500170137</v>
      </c>
      <c r="E140" s="835" t="s">
        <v>1681</v>
      </c>
      <c r="F140" s="837" t="s">
        <v>1682</v>
      </c>
      <c r="G140" s="838" t="s">
        <v>1147</v>
      </c>
      <c r="H140" s="838" t="s">
        <v>1148</v>
      </c>
      <c r="I140" s="838">
        <v>12</v>
      </c>
      <c r="J140" s="838">
        <v>0</v>
      </c>
      <c r="K140" s="838">
        <v>12</v>
      </c>
      <c r="L140" s="847">
        <f t="shared" si="73"/>
        <v>1</v>
      </c>
      <c r="M140" s="848">
        <v>45859</v>
      </c>
      <c r="N140" s="848">
        <v>45855</v>
      </c>
      <c r="O140" s="849"/>
      <c r="P140" s="850" t="s">
        <v>46</v>
      </c>
      <c r="Q140" s="838"/>
      <c r="R140" s="862">
        <v>45821</v>
      </c>
      <c r="S140" s="838" t="s">
        <v>48</v>
      </c>
      <c r="T140" s="863" t="s">
        <v>1666</v>
      </c>
      <c r="U140" s="864" t="s">
        <v>1677</v>
      </c>
      <c r="V140" s="848" t="s">
        <v>721</v>
      </c>
      <c r="W140" s="865">
        <v>4.0406</v>
      </c>
      <c r="X140" s="866">
        <f t="shared" si="65"/>
        <v>48.4872</v>
      </c>
      <c r="Y140" s="838" t="s">
        <v>1678</v>
      </c>
      <c r="Z140" s="838" t="s">
        <v>1549</v>
      </c>
      <c r="AA140" s="838" t="s">
        <v>53</v>
      </c>
      <c r="AB140" s="873" t="s">
        <v>54</v>
      </c>
      <c r="AC140" s="838"/>
      <c r="AD140" s="874">
        <v>12</v>
      </c>
      <c r="AE140" s="874">
        <f t="shared" si="66"/>
        <v>0</v>
      </c>
      <c r="AF140" s="875"/>
      <c r="AG140" s="838"/>
      <c r="AH140" s="838"/>
      <c r="AI140" s="838"/>
      <c r="AJ140" s="838">
        <f t="shared" si="67"/>
        <v>12</v>
      </c>
      <c r="AK140" s="838"/>
      <c r="AN140" s="838">
        <f t="shared" si="68"/>
        <v>24</v>
      </c>
      <c r="AO140" s="838"/>
      <c r="AQ140" s="838">
        <f t="shared" si="69"/>
        <v>24</v>
      </c>
      <c r="AR140" s="838"/>
      <c r="AS140" s="838"/>
      <c r="AT140" s="838"/>
      <c r="BL140" s="803">
        <f t="shared" si="70"/>
        <v>12</v>
      </c>
      <c r="BM140" s="803">
        <f t="shared" si="71"/>
        <v>12</v>
      </c>
      <c r="BO140" s="803">
        <f t="shared" si="72"/>
        <v>12</v>
      </c>
      <c r="BS140" s="888">
        <f t="shared" si="61"/>
        <v>12</v>
      </c>
      <c r="BT140" s="889">
        <f t="shared" si="62"/>
        <v>2466635</v>
      </c>
      <c r="BU140" s="892"/>
      <c r="BV140" s="892"/>
      <c r="BW140" s="892"/>
      <c r="BX140" s="892"/>
      <c r="BY140" s="891">
        <f t="shared" si="59"/>
        <v>353365</v>
      </c>
      <c r="CA140" s="805">
        <f t="shared" si="63"/>
        <v>0</v>
      </c>
      <c r="CB140" s="888">
        <f t="shared" si="64"/>
        <v>50218.5714285714</v>
      </c>
      <c r="CC140" s="892"/>
      <c r="CD140" s="892"/>
      <c r="CE140" s="892"/>
      <c r="CF140" s="888">
        <f t="shared" si="60"/>
        <v>9781.4285714286</v>
      </c>
      <c r="CG140" s="892"/>
    </row>
    <row r="141" s="803" customFormat="1" ht="31" hidden="1" customHeight="1" spans="1:85">
      <c r="A141" s="834">
        <v>45824</v>
      </c>
      <c r="B141" s="835" t="s">
        <v>715</v>
      </c>
      <c r="C141" s="839" t="s">
        <v>716</v>
      </c>
      <c r="D141" s="837">
        <v>4500170137</v>
      </c>
      <c r="E141" s="835" t="s">
        <v>1683</v>
      </c>
      <c r="F141" s="837" t="s">
        <v>1684</v>
      </c>
      <c r="G141" s="838" t="s">
        <v>1147</v>
      </c>
      <c r="H141" s="838" t="s">
        <v>1148</v>
      </c>
      <c r="I141" s="838">
        <v>12</v>
      </c>
      <c r="J141" s="838">
        <v>0</v>
      </c>
      <c r="K141" s="838">
        <v>12</v>
      </c>
      <c r="L141" s="847">
        <f t="shared" si="73"/>
        <v>1</v>
      </c>
      <c r="M141" s="848">
        <v>45859</v>
      </c>
      <c r="N141" s="848">
        <v>45855</v>
      </c>
      <c r="O141" s="849"/>
      <c r="P141" s="850" t="s">
        <v>46</v>
      </c>
      <c r="Q141" s="838"/>
      <c r="R141" s="862">
        <v>45821</v>
      </c>
      <c r="S141" s="838" t="s">
        <v>48</v>
      </c>
      <c r="T141" s="863" t="s">
        <v>1666</v>
      </c>
      <c r="U141" s="864" t="s">
        <v>1677</v>
      </c>
      <c r="V141" s="848" t="s">
        <v>721</v>
      </c>
      <c r="W141" s="865">
        <v>4.0406</v>
      </c>
      <c r="X141" s="866">
        <f t="shared" si="65"/>
        <v>48.4872</v>
      </c>
      <c r="Y141" s="838" t="s">
        <v>1678</v>
      </c>
      <c r="Z141" s="838" t="s">
        <v>1549</v>
      </c>
      <c r="AA141" s="838" t="s">
        <v>53</v>
      </c>
      <c r="AB141" s="873" t="s">
        <v>54</v>
      </c>
      <c r="AC141" s="838"/>
      <c r="AD141" s="874">
        <v>12</v>
      </c>
      <c r="AE141" s="874">
        <f t="shared" si="66"/>
        <v>0</v>
      </c>
      <c r="AF141" s="875"/>
      <c r="AG141" s="838"/>
      <c r="AH141" s="838"/>
      <c r="AI141" s="838"/>
      <c r="AJ141" s="838">
        <f t="shared" si="67"/>
        <v>12</v>
      </c>
      <c r="AK141" s="838"/>
      <c r="AN141" s="838">
        <f t="shared" si="68"/>
        <v>24</v>
      </c>
      <c r="AO141" s="838"/>
      <c r="AQ141" s="838">
        <f t="shared" si="69"/>
        <v>24</v>
      </c>
      <c r="AR141" s="838"/>
      <c r="AS141" s="838"/>
      <c r="AT141" s="838"/>
      <c r="BL141" s="803">
        <f t="shared" si="70"/>
        <v>12</v>
      </c>
      <c r="BM141" s="803">
        <f t="shared" si="71"/>
        <v>12</v>
      </c>
      <c r="BO141" s="803">
        <f t="shared" si="72"/>
        <v>12</v>
      </c>
      <c r="BS141" s="888">
        <f t="shared" si="61"/>
        <v>12</v>
      </c>
      <c r="BT141" s="889">
        <f t="shared" si="62"/>
        <v>2466647</v>
      </c>
      <c r="BU141" s="892"/>
      <c r="BV141" s="892"/>
      <c r="BW141" s="892"/>
      <c r="BX141" s="892"/>
      <c r="BY141" s="891">
        <f t="shared" si="59"/>
        <v>353353</v>
      </c>
      <c r="CA141" s="805">
        <f t="shared" si="63"/>
        <v>0</v>
      </c>
      <c r="CB141" s="888">
        <f t="shared" si="64"/>
        <v>50218.5714285714</v>
      </c>
      <c r="CC141" s="892"/>
      <c r="CD141" s="892"/>
      <c r="CE141" s="892"/>
      <c r="CF141" s="888">
        <f t="shared" si="60"/>
        <v>9781.4285714286</v>
      </c>
      <c r="CG141" s="892"/>
    </row>
    <row r="142" s="803" customFormat="1" ht="31" hidden="1" customHeight="1" spans="1:85">
      <c r="A142" s="834">
        <v>45824</v>
      </c>
      <c r="B142" s="835" t="s">
        <v>715</v>
      </c>
      <c r="C142" s="839" t="s">
        <v>716</v>
      </c>
      <c r="D142" s="837">
        <v>4500170137</v>
      </c>
      <c r="E142" s="835" t="s">
        <v>1685</v>
      </c>
      <c r="F142" s="837" t="s">
        <v>1686</v>
      </c>
      <c r="G142" s="838" t="s">
        <v>1147</v>
      </c>
      <c r="H142" s="838" t="s">
        <v>1148</v>
      </c>
      <c r="I142" s="838">
        <v>24</v>
      </c>
      <c r="J142" s="838">
        <v>0</v>
      </c>
      <c r="K142" s="838">
        <v>12</v>
      </c>
      <c r="L142" s="847">
        <f t="shared" si="73"/>
        <v>2</v>
      </c>
      <c r="M142" s="848">
        <v>45859</v>
      </c>
      <c r="N142" s="848">
        <v>45855</v>
      </c>
      <c r="O142" s="849"/>
      <c r="P142" s="850" t="s">
        <v>46</v>
      </c>
      <c r="Q142" s="838"/>
      <c r="R142" s="862">
        <v>45821</v>
      </c>
      <c r="S142" s="838" t="s">
        <v>48</v>
      </c>
      <c r="T142" s="863" t="s">
        <v>1666</v>
      </c>
      <c r="U142" s="864" t="s">
        <v>1677</v>
      </c>
      <c r="V142" s="848" t="s">
        <v>721</v>
      </c>
      <c r="W142" s="865">
        <v>4.0406</v>
      </c>
      <c r="X142" s="866">
        <f t="shared" si="65"/>
        <v>96.9744</v>
      </c>
      <c r="Y142" s="838" t="s">
        <v>1678</v>
      </c>
      <c r="Z142" s="838" t="s">
        <v>1549</v>
      </c>
      <c r="AA142" s="838" t="s">
        <v>53</v>
      </c>
      <c r="AB142" s="873" t="s">
        <v>54</v>
      </c>
      <c r="AC142" s="838"/>
      <c r="AD142" s="874">
        <v>24</v>
      </c>
      <c r="AE142" s="874">
        <f t="shared" si="66"/>
        <v>0</v>
      </c>
      <c r="AF142" s="875"/>
      <c r="AG142" s="838"/>
      <c r="AH142" s="838"/>
      <c r="AI142" s="838"/>
      <c r="AJ142" s="838">
        <f t="shared" si="67"/>
        <v>24</v>
      </c>
      <c r="AK142" s="838"/>
      <c r="AN142" s="838">
        <f t="shared" si="68"/>
        <v>48</v>
      </c>
      <c r="AO142" s="838"/>
      <c r="AQ142" s="838">
        <f t="shared" si="69"/>
        <v>48</v>
      </c>
      <c r="AR142" s="838"/>
      <c r="AS142" s="838"/>
      <c r="AT142" s="838"/>
      <c r="BL142" s="803">
        <f t="shared" si="70"/>
        <v>24</v>
      </c>
      <c r="BM142" s="803">
        <f t="shared" si="71"/>
        <v>24</v>
      </c>
      <c r="BO142" s="803">
        <f t="shared" si="72"/>
        <v>24</v>
      </c>
      <c r="BS142" s="888">
        <f t="shared" si="61"/>
        <v>24</v>
      </c>
      <c r="BT142" s="889">
        <f t="shared" si="62"/>
        <v>2466671</v>
      </c>
      <c r="BU142" s="892"/>
      <c r="BV142" s="892"/>
      <c r="BW142" s="892"/>
      <c r="BX142" s="892"/>
      <c r="BY142" s="891">
        <f t="shared" si="59"/>
        <v>353329</v>
      </c>
      <c r="CA142" s="805">
        <f t="shared" si="63"/>
        <v>0</v>
      </c>
      <c r="CB142" s="888">
        <f t="shared" si="64"/>
        <v>50218.5714285714</v>
      </c>
      <c r="CC142" s="892"/>
      <c r="CD142" s="892"/>
      <c r="CE142" s="892"/>
      <c r="CF142" s="888">
        <f t="shared" si="60"/>
        <v>9781.4285714286</v>
      </c>
      <c r="CG142" s="892"/>
    </row>
    <row r="143" s="803" customFormat="1" ht="31" hidden="1" customHeight="1" spans="1:85">
      <c r="A143" s="834">
        <v>45807</v>
      </c>
      <c r="B143" s="835" t="s">
        <v>372</v>
      </c>
      <c r="C143" s="839" t="s">
        <v>84</v>
      </c>
      <c r="D143" s="837">
        <v>4500168600</v>
      </c>
      <c r="E143" s="835" t="s">
        <v>1687</v>
      </c>
      <c r="F143" s="837" t="s">
        <v>1688</v>
      </c>
      <c r="G143" s="838" t="s">
        <v>1163</v>
      </c>
      <c r="H143" s="838" t="s">
        <v>1140</v>
      </c>
      <c r="I143" s="838">
        <v>1104</v>
      </c>
      <c r="J143" s="838">
        <v>0</v>
      </c>
      <c r="K143" s="838">
        <v>24</v>
      </c>
      <c r="L143" s="847">
        <f t="shared" si="73"/>
        <v>46</v>
      </c>
      <c r="M143" s="848">
        <v>45860</v>
      </c>
      <c r="N143" s="848">
        <v>45856</v>
      </c>
      <c r="O143" s="849"/>
      <c r="P143" s="850" t="s">
        <v>46</v>
      </c>
      <c r="Q143" s="838"/>
      <c r="R143" s="862">
        <v>45807</v>
      </c>
      <c r="S143" s="838" t="s">
        <v>48</v>
      </c>
      <c r="T143" s="863">
        <v>45845</v>
      </c>
      <c r="U143" s="864" t="s">
        <v>1689</v>
      </c>
      <c r="V143" s="848" t="s">
        <v>89</v>
      </c>
      <c r="W143" s="865">
        <v>1.83</v>
      </c>
      <c r="X143" s="866">
        <f>W143*I143</f>
        <v>2020.32</v>
      </c>
      <c r="Y143" s="838" t="s">
        <v>1690</v>
      </c>
      <c r="Z143" s="838" t="s">
        <v>1163</v>
      </c>
      <c r="AA143" s="838" t="s">
        <v>53</v>
      </c>
      <c r="AB143" s="873" t="s">
        <v>54</v>
      </c>
      <c r="AC143" s="838"/>
      <c r="AD143" s="874">
        <f>1080+24</f>
        <v>1104</v>
      </c>
      <c r="AE143" s="874">
        <f t="shared" si="66"/>
        <v>0</v>
      </c>
      <c r="AF143" s="875"/>
      <c r="AG143" s="838"/>
      <c r="AH143" s="838"/>
      <c r="AI143" s="838">
        <f>I143</f>
        <v>1104</v>
      </c>
      <c r="AJ143" s="838"/>
      <c r="AK143" s="838">
        <f>I143</f>
        <v>1104</v>
      </c>
      <c r="AN143" s="838"/>
      <c r="AO143" s="838"/>
      <c r="AQ143" s="838">
        <f>I143</f>
        <v>1104</v>
      </c>
      <c r="AR143" s="838"/>
      <c r="AS143" s="838"/>
      <c r="AT143" s="838"/>
      <c r="BS143" s="888">
        <f t="shared" si="61"/>
        <v>1104</v>
      </c>
      <c r="BT143" s="889">
        <f t="shared" si="62"/>
        <v>2467775</v>
      </c>
      <c r="BU143" s="892"/>
      <c r="BV143" s="892"/>
      <c r="BW143" s="892"/>
      <c r="BX143" s="892"/>
      <c r="BY143" s="891">
        <f t="shared" si="59"/>
        <v>352225</v>
      </c>
      <c r="CA143" s="805">
        <f t="shared" si="63"/>
        <v>0</v>
      </c>
      <c r="CB143" s="888">
        <f t="shared" si="64"/>
        <v>50218.5714285714</v>
      </c>
      <c r="CC143" s="892"/>
      <c r="CD143" s="892"/>
      <c r="CE143" s="892"/>
      <c r="CF143" s="888">
        <f t="shared" si="60"/>
        <v>9781.4285714286</v>
      </c>
      <c r="CG143" s="892"/>
    </row>
    <row r="144" s="803" customFormat="1" ht="31" customHeight="1" spans="1:85">
      <c r="A144" s="834">
        <v>45818</v>
      </c>
      <c r="B144" s="835" t="s">
        <v>1175</v>
      </c>
      <c r="C144" s="839" t="s">
        <v>929</v>
      </c>
      <c r="D144" s="837">
        <v>4500169604</v>
      </c>
      <c r="E144" s="835"/>
      <c r="F144" s="837" t="s">
        <v>1691</v>
      </c>
      <c r="G144" s="838" t="s">
        <v>1155</v>
      </c>
      <c r="H144" s="838" t="s">
        <v>1140</v>
      </c>
      <c r="I144" s="838">
        <v>200</v>
      </c>
      <c r="J144" s="838">
        <v>0</v>
      </c>
      <c r="K144" s="838">
        <v>50</v>
      </c>
      <c r="L144" s="847">
        <f t="shared" si="73"/>
        <v>4</v>
      </c>
      <c r="M144" s="848">
        <v>45863</v>
      </c>
      <c r="N144" s="848">
        <v>45859</v>
      </c>
      <c r="O144" s="849"/>
      <c r="P144" s="850" t="s">
        <v>46</v>
      </c>
      <c r="Q144" s="838"/>
      <c r="R144" s="862">
        <v>45832</v>
      </c>
      <c r="S144" s="838" t="s">
        <v>58</v>
      </c>
      <c r="T144" s="863">
        <v>45832</v>
      </c>
      <c r="U144" s="864" t="s">
        <v>1692</v>
      </c>
      <c r="V144" s="848" t="s">
        <v>653</v>
      </c>
      <c r="W144" s="865">
        <v>1.9438</v>
      </c>
      <c r="X144" s="866">
        <f>I144*W144</f>
        <v>388.76</v>
      </c>
      <c r="Y144" s="897" t="s">
        <v>1693</v>
      </c>
      <c r="Z144" s="838" t="s">
        <v>1160</v>
      </c>
      <c r="AA144" s="838" t="s">
        <v>53</v>
      </c>
      <c r="AB144" s="873" t="s">
        <v>54</v>
      </c>
      <c r="AC144" s="838"/>
      <c r="AD144" s="874">
        <v>200</v>
      </c>
      <c r="AE144" s="874">
        <f t="shared" si="66"/>
        <v>0</v>
      </c>
      <c r="AF144" s="875"/>
      <c r="AG144" s="838" t="s">
        <v>55</v>
      </c>
      <c r="AH144" s="838"/>
      <c r="AI144" s="838">
        <f>I144</f>
        <v>200</v>
      </c>
      <c r="AJ144" s="838"/>
      <c r="AK144" s="838"/>
      <c r="AN144" s="838">
        <f>I144</f>
        <v>200</v>
      </c>
      <c r="AO144" s="838"/>
      <c r="AQ144" s="838">
        <f>I144</f>
        <v>200</v>
      </c>
      <c r="AR144" s="838"/>
      <c r="AS144" s="838"/>
      <c r="AT144" s="838"/>
      <c r="BD144" s="803">
        <f>I144/25</f>
        <v>8</v>
      </c>
      <c r="BS144" s="888">
        <f t="shared" si="61"/>
        <v>200</v>
      </c>
      <c r="BT144" s="889">
        <f t="shared" si="62"/>
        <v>2467975</v>
      </c>
      <c r="BU144" s="892"/>
      <c r="BV144" s="892"/>
      <c r="BW144" s="892"/>
      <c r="BX144" s="892"/>
      <c r="BY144" s="891">
        <f t="shared" si="59"/>
        <v>352025</v>
      </c>
      <c r="CA144" s="805">
        <f t="shared" si="63"/>
        <v>8</v>
      </c>
      <c r="CB144" s="888">
        <f t="shared" si="64"/>
        <v>50226.5714285714</v>
      </c>
      <c r="CC144" s="892"/>
      <c r="CD144" s="892"/>
      <c r="CE144" s="892"/>
      <c r="CF144" s="888">
        <f t="shared" si="60"/>
        <v>9773.4285714286</v>
      </c>
      <c r="CG144" s="892"/>
    </row>
    <row r="145" s="803" customFormat="1" ht="31" customHeight="1" spans="1:85">
      <c r="A145" s="834">
        <v>45789</v>
      </c>
      <c r="B145" s="835" t="s">
        <v>1364</v>
      </c>
      <c r="C145" s="839" t="s">
        <v>41</v>
      </c>
      <c r="D145" s="837">
        <v>4500165982</v>
      </c>
      <c r="E145" s="835" t="s">
        <v>1694</v>
      </c>
      <c r="F145" s="837" t="s">
        <v>1695</v>
      </c>
      <c r="G145" s="838" t="s">
        <v>1155</v>
      </c>
      <c r="H145" s="838" t="s">
        <v>1140</v>
      </c>
      <c r="I145" s="838">
        <v>5400</v>
      </c>
      <c r="J145" s="838">
        <v>0</v>
      </c>
      <c r="K145" s="838">
        <v>50</v>
      </c>
      <c r="L145" s="847">
        <f t="shared" si="73"/>
        <v>108</v>
      </c>
      <c r="M145" s="848">
        <v>45863</v>
      </c>
      <c r="N145" s="848">
        <v>45859</v>
      </c>
      <c r="O145" s="849"/>
      <c r="P145" s="850" t="s">
        <v>46</v>
      </c>
      <c r="Q145" s="838"/>
      <c r="R145" s="862">
        <v>45840</v>
      </c>
      <c r="S145" s="838" t="s">
        <v>58</v>
      </c>
      <c r="T145" s="863">
        <v>45828</v>
      </c>
      <c r="U145" s="864" t="s">
        <v>1696</v>
      </c>
      <c r="V145" s="848" t="s">
        <v>1697</v>
      </c>
      <c r="W145" s="865">
        <v>1.949</v>
      </c>
      <c r="X145" s="866">
        <f>I145*W145</f>
        <v>10524.6</v>
      </c>
      <c r="Y145" s="838" t="s">
        <v>1698</v>
      </c>
      <c r="Z145" s="838" t="s">
        <v>1160</v>
      </c>
      <c r="AA145" s="838" t="s">
        <v>53</v>
      </c>
      <c r="AB145" s="873" t="s">
        <v>54</v>
      </c>
      <c r="AC145" s="838"/>
      <c r="AD145" s="874">
        <f>50+5350</f>
        <v>5400</v>
      </c>
      <c r="AE145" s="874">
        <f t="shared" si="66"/>
        <v>0</v>
      </c>
      <c r="AF145" s="875"/>
      <c r="AG145" s="838"/>
      <c r="AH145" s="838"/>
      <c r="AI145" s="838">
        <f>I145</f>
        <v>5400</v>
      </c>
      <c r="AJ145" s="838"/>
      <c r="AK145" s="838"/>
      <c r="AN145" s="838">
        <f>I145</f>
        <v>5400</v>
      </c>
      <c r="AO145" s="838"/>
      <c r="AQ145" s="838">
        <f>I145</f>
        <v>5400</v>
      </c>
      <c r="AR145" s="838"/>
      <c r="AS145" s="838"/>
      <c r="AT145" s="838"/>
      <c r="BD145" s="803">
        <f>I145/25</f>
        <v>216</v>
      </c>
      <c r="BS145" s="888">
        <f t="shared" si="61"/>
        <v>5400</v>
      </c>
      <c r="BT145" s="889">
        <f t="shared" si="62"/>
        <v>2473375</v>
      </c>
      <c r="BU145" s="892"/>
      <c r="BV145" s="892"/>
      <c r="BW145" s="892"/>
      <c r="BX145" s="892"/>
      <c r="BY145" s="891">
        <f t="shared" si="59"/>
        <v>346625</v>
      </c>
      <c r="CA145" s="805">
        <f t="shared" si="63"/>
        <v>216</v>
      </c>
      <c r="CB145" s="888">
        <f t="shared" si="64"/>
        <v>50442.5714285714</v>
      </c>
      <c r="CC145" s="892"/>
      <c r="CD145" s="892"/>
      <c r="CE145" s="892"/>
      <c r="CF145" s="888">
        <f t="shared" si="60"/>
        <v>9557.4285714286</v>
      </c>
      <c r="CG145" s="892"/>
    </row>
    <row r="146" s="803" customFormat="1" ht="31" customHeight="1" spans="1:85">
      <c r="A146" s="834">
        <v>45775</v>
      </c>
      <c r="B146" s="835" t="s">
        <v>1364</v>
      </c>
      <c r="C146" s="839" t="s">
        <v>41</v>
      </c>
      <c r="D146" s="837">
        <v>4500164920</v>
      </c>
      <c r="E146" s="835">
        <v>61963726</v>
      </c>
      <c r="F146" s="837" t="s">
        <v>1699</v>
      </c>
      <c r="G146" s="838" t="s">
        <v>1155</v>
      </c>
      <c r="H146" s="838" t="s">
        <v>1140</v>
      </c>
      <c r="I146" s="838">
        <v>400</v>
      </c>
      <c r="J146" s="838">
        <v>0</v>
      </c>
      <c r="K146" s="838">
        <v>50</v>
      </c>
      <c r="L146" s="847">
        <f t="shared" si="73"/>
        <v>8</v>
      </c>
      <c r="M146" s="848">
        <v>45863</v>
      </c>
      <c r="N146" s="848">
        <v>45859</v>
      </c>
      <c r="O146" s="849"/>
      <c r="P146" s="850" t="s">
        <v>46</v>
      </c>
      <c r="Q146" s="838"/>
      <c r="R146" s="862">
        <v>45812</v>
      </c>
      <c r="S146" s="838" t="s">
        <v>58</v>
      </c>
      <c r="T146" s="863">
        <v>45828</v>
      </c>
      <c r="U146" s="864" t="s">
        <v>1700</v>
      </c>
      <c r="V146" s="848" t="s">
        <v>653</v>
      </c>
      <c r="W146" s="865">
        <v>1.9605</v>
      </c>
      <c r="X146" s="866">
        <f>I146*W146</f>
        <v>784.2</v>
      </c>
      <c r="Y146" s="838" t="s">
        <v>1701</v>
      </c>
      <c r="Z146" s="838" t="s">
        <v>1160</v>
      </c>
      <c r="AA146" s="838" t="s">
        <v>53</v>
      </c>
      <c r="AB146" s="873" t="s">
        <v>54</v>
      </c>
      <c r="AC146" s="838"/>
      <c r="AD146" s="874">
        <v>400</v>
      </c>
      <c r="AE146" s="874">
        <f t="shared" si="66"/>
        <v>0</v>
      </c>
      <c r="AF146" s="875"/>
      <c r="AG146" s="838"/>
      <c r="AH146" s="838"/>
      <c r="AI146" s="838">
        <f>I146</f>
        <v>400</v>
      </c>
      <c r="AJ146" s="838"/>
      <c r="AK146" s="838"/>
      <c r="AN146" s="838">
        <f>I146</f>
        <v>400</v>
      </c>
      <c r="AO146" s="838"/>
      <c r="AQ146" s="838">
        <f>I146</f>
        <v>400</v>
      </c>
      <c r="AR146" s="838"/>
      <c r="AS146" s="838"/>
      <c r="AT146" s="838"/>
      <c r="BD146" s="803">
        <f>I146/25</f>
        <v>16</v>
      </c>
      <c r="BS146" s="888">
        <f t="shared" si="61"/>
        <v>400</v>
      </c>
      <c r="BT146" s="889">
        <f t="shared" si="62"/>
        <v>2473775</v>
      </c>
      <c r="BU146" s="892"/>
      <c r="BV146" s="892"/>
      <c r="BW146" s="892"/>
      <c r="BX146" s="892"/>
      <c r="BY146" s="891">
        <f t="shared" si="59"/>
        <v>346225</v>
      </c>
      <c r="CA146" s="805">
        <f t="shared" si="63"/>
        <v>16</v>
      </c>
      <c r="CB146" s="888">
        <f t="shared" si="64"/>
        <v>50458.5714285714</v>
      </c>
      <c r="CC146" s="892"/>
      <c r="CD146" s="892"/>
      <c r="CE146" s="892"/>
      <c r="CF146" s="888">
        <f t="shared" si="60"/>
        <v>9541.4285714286</v>
      </c>
      <c r="CG146" s="892"/>
    </row>
    <row r="147" s="803" customFormat="1" ht="31" hidden="1" customHeight="1" spans="1:85">
      <c r="A147" s="834">
        <v>45811</v>
      </c>
      <c r="B147" s="835" t="s">
        <v>372</v>
      </c>
      <c r="C147" s="839" t="s">
        <v>84</v>
      </c>
      <c r="D147" s="837">
        <v>4500168775</v>
      </c>
      <c r="E147" s="835"/>
      <c r="F147" s="837" t="s">
        <v>1702</v>
      </c>
      <c r="G147" s="838" t="s">
        <v>1163</v>
      </c>
      <c r="H147" s="838" t="s">
        <v>1140</v>
      </c>
      <c r="I147" s="838">
        <v>24</v>
      </c>
      <c r="J147" s="838">
        <v>0</v>
      </c>
      <c r="K147" s="838">
        <v>24</v>
      </c>
      <c r="L147" s="847">
        <f t="shared" si="73"/>
        <v>1</v>
      </c>
      <c r="M147" s="848">
        <v>45866</v>
      </c>
      <c r="N147" s="848">
        <v>45862</v>
      </c>
      <c r="O147" s="849"/>
      <c r="P147" s="850" t="s">
        <v>46</v>
      </c>
      <c r="Q147" s="838"/>
      <c r="R147" s="862">
        <v>45807</v>
      </c>
      <c r="S147" s="838" t="s">
        <v>48</v>
      </c>
      <c r="T147" s="863">
        <v>45845</v>
      </c>
      <c r="U147" s="864" t="s">
        <v>1689</v>
      </c>
      <c r="V147" s="848" t="s">
        <v>89</v>
      </c>
      <c r="W147" s="865">
        <v>1.8342</v>
      </c>
      <c r="X147" s="866">
        <f t="shared" ref="X147:X162" si="74">W147*I147</f>
        <v>44.0208</v>
      </c>
      <c r="Y147" s="838" t="s">
        <v>1703</v>
      </c>
      <c r="Z147" s="838" t="s">
        <v>1163</v>
      </c>
      <c r="AA147" s="838" t="s">
        <v>53</v>
      </c>
      <c r="AB147" s="873" t="s">
        <v>54</v>
      </c>
      <c r="AC147" s="838"/>
      <c r="AD147" s="874">
        <v>24</v>
      </c>
      <c r="AE147" s="874">
        <f t="shared" si="66"/>
        <v>0</v>
      </c>
      <c r="AF147" s="875"/>
      <c r="AG147" s="838" t="s">
        <v>55</v>
      </c>
      <c r="AH147" s="838"/>
      <c r="AI147" s="838">
        <f>I147</f>
        <v>24</v>
      </c>
      <c r="AJ147" s="838"/>
      <c r="AK147" s="838">
        <f>I147</f>
        <v>24</v>
      </c>
      <c r="AN147" s="838"/>
      <c r="AO147" s="838"/>
      <c r="AQ147" s="838">
        <f>I147</f>
        <v>24</v>
      </c>
      <c r="AR147" s="838"/>
      <c r="AS147" s="838"/>
      <c r="AT147" s="838"/>
      <c r="BS147" s="888">
        <f t="shared" si="61"/>
        <v>24</v>
      </c>
      <c r="BT147" s="889">
        <f t="shared" si="62"/>
        <v>2473799</v>
      </c>
      <c r="BU147" s="892"/>
      <c r="BV147" s="892"/>
      <c r="BW147" s="892"/>
      <c r="BX147" s="892"/>
      <c r="BY147" s="891">
        <f t="shared" si="59"/>
        <v>346201</v>
      </c>
      <c r="CA147" s="805">
        <f t="shared" si="63"/>
        <v>0</v>
      </c>
      <c r="CB147" s="888">
        <f t="shared" si="64"/>
        <v>50458.5714285714</v>
      </c>
      <c r="CC147" s="892"/>
      <c r="CD147" s="892"/>
      <c r="CE147" s="892"/>
      <c r="CF147" s="888">
        <f t="shared" si="60"/>
        <v>9541.4285714286</v>
      </c>
      <c r="CG147" s="892"/>
    </row>
    <row r="148" s="803" customFormat="1" ht="31" hidden="1" customHeight="1" spans="1:85">
      <c r="A148" s="834">
        <v>45838</v>
      </c>
      <c r="B148" s="835" t="s">
        <v>1255</v>
      </c>
      <c r="C148" s="839" t="s">
        <v>84</v>
      </c>
      <c r="D148" s="837">
        <v>4500171922</v>
      </c>
      <c r="E148" s="835" t="s">
        <v>1704</v>
      </c>
      <c r="F148" s="837" t="s">
        <v>1705</v>
      </c>
      <c r="G148" s="838" t="s">
        <v>1147</v>
      </c>
      <c r="H148" s="838" t="s">
        <v>1148</v>
      </c>
      <c r="I148" s="838">
        <v>600</v>
      </c>
      <c r="J148" s="838">
        <v>0</v>
      </c>
      <c r="K148" s="838">
        <v>12</v>
      </c>
      <c r="L148" s="847">
        <f t="shared" si="73"/>
        <v>50</v>
      </c>
      <c r="M148" s="848">
        <v>45870</v>
      </c>
      <c r="N148" s="848">
        <f t="shared" ref="N148:N157" si="75">M148-4</f>
        <v>45866</v>
      </c>
      <c r="O148" s="849"/>
      <c r="P148" s="850" t="s">
        <v>46</v>
      </c>
      <c r="Q148" s="838"/>
      <c r="R148" s="862">
        <v>45840</v>
      </c>
      <c r="S148" s="838" t="s">
        <v>58</v>
      </c>
      <c r="T148" s="863" t="s">
        <v>1706</v>
      </c>
      <c r="U148" s="864" t="s">
        <v>1707</v>
      </c>
      <c r="V148" s="848" t="s">
        <v>1260</v>
      </c>
      <c r="W148" s="865">
        <v>2.4244</v>
      </c>
      <c r="X148" s="866">
        <f t="shared" si="74"/>
        <v>1454.64</v>
      </c>
      <c r="Y148" s="838" t="s">
        <v>1708</v>
      </c>
      <c r="Z148" s="898" t="s">
        <v>1709</v>
      </c>
      <c r="AA148" s="838" t="s">
        <v>53</v>
      </c>
      <c r="AB148" s="873" t="s">
        <v>54</v>
      </c>
      <c r="AC148" s="838"/>
      <c r="AD148" s="874">
        <v>600</v>
      </c>
      <c r="AE148" s="874">
        <f t="shared" si="66"/>
        <v>0</v>
      </c>
      <c r="AF148" s="875"/>
      <c r="AG148" s="838" t="s">
        <v>55</v>
      </c>
      <c r="AH148" s="838"/>
      <c r="AI148" s="838"/>
      <c r="AJ148" s="285">
        <f>I148</f>
        <v>600</v>
      </c>
      <c r="AK148" s="838"/>
      <c r="AM148" s="805">
        <f>I148*2</f>
        <v>1200</v>
      </c>
      <c r="AN148" s="838"/>
      <c r="AO148" s="838"/>
      <c r="AQ148" s="285">
        <f t="shared" ref="AQ148:AQ157" si="76">I148*2</f>
        <v>1200</v>
      </c>
      <c r="AR148" s="838"/>
      <c r="AS148" s="838"/>
      <c r="AT148" s="838"/>
      <c r="BL148" s="805">
        <f t="shared" ref="BL148:BL157" si="77">I148</f>
        <v>600</v>
      </c>
      <c r="BM148" s="805">
        <f t="shared" ref="BM148:BM157" si="78">I148</f>
        <v>600</v>
      </c>
      <c r="BO148" s="805">
        <f t="shared" ref="BO148:BO157" si="79">I148</f>
        <v>600</v>
      </c>
      <c r="BS148" s="888">
        <f t="shared" si="61"/>
        <v>600</v>
      </c>
      <c r="BT148" s="889">
        <f t="shared" si="62"/>
        <v>2474399</v>
      </c>
      <c r="BU148" s="892"/>
      <c r="BV148" s="892"/>
      <c r="BW148" s="892"/>
      <c r="BX148" s="892"/>
      <c r="BY148" s="891">
        <f t="shared" si="59"/>
        <v>345601</v>
      </c>
      <c r="CA148" s="805">
        <f t="shared" si="63"/>
        <v>0</v>
      </c>
      <c r="CB148" s="888">
        <f t="shared" si="64"/>
        <v>50458.5714285714</v>
      </c>
      <c r="CC148" s="892"/>
      <c r="CD148" s="892"/>
      <c r="CE148" s="892"/>
      <c r="CF148" s="888">
        <f t="shared" si="60"/>
        <v>9541.4285714286</v>
      </c>
      <c r="CG148" s="892"/>
    </row>
    <row r="149" s="803" customFormat="1" ht="31" hidden="1" customHeight="1" spans="1:85">
      <c r="A149" s="834">
        <v>45838</v>
      </c>
      <c r="B149" s="835" t="s">
        <v>1255</v>
      </c>
      <c r="C149" s="839" t="s">
        <v>84</v>
      </c>
      <c r="D149" s="837">
        <v>4500171921</v>
      </c>
      <c r="E149" s="835" t="s">
        <v>1710</v>
      </c>
      <c r="F149" s="837" t="s">
        <v>1711</v>
      </c>
      <c r="G149" s="838" t="s">
        <v>1147</v>
      </c>
      <c r="H149" s="838" t="s">
        <v>1148</v>
      </c>
      <c r="I149" s="838">
        <v>1800</v>
      </c>
      <c r="J149" s="838">
        <v>0</v>
      </c>
      <c r="K149" s="838">
        <v>12</v>
      </c>
      <c r="L149" s="847">
        <f t="shared" si="73"/>
        <v>150</v>
      </c>
      <c r="M149" s="848">
        <v>45870</v>
      </c>
      <c r="N149" s="848">
        <f t="shared" si="75"/>
        <v>45866</v>
      </c>
      <c r="O149" s="849"/>
      <c r="P149" s="850" t="s">
        <v>46</v>
      </c>
      <c r="Q149" s="838"/>
      <c r="R149" s="862">
        <v>45840</v>
      </c>
      <c r="S149" s="838" t="s">
        <v>58</v>
      </c>
      <c r="T149" s="863" t="s">
        <v>1706</v>
      </c>
      <c r="U149" s="864" t="s">
        <v>1707</v>
      </c>
      <c r="V149" s="848" t="s">
        <v>1260</v>
      </c>
      <c r="W149" s="865">
        <v>2.4015</v>
      </c>
      <c r="X149" s="866">
        <f t="shared" si="74"/>
        <v>4322.7</v>
      </c>
      <c r="Y149" s="838" t="s">
        <v>1712</v>
      </c>
      <c r="Z149" s="898" t="s">
        <v>1709</v>
      </c>
      <c r="AA149" s="838" t="s">
        <v>53</v>
      </c>
      <c r="AB149" s="873" t="s">
        <v>54</v>
      </c>
      <c r="AC149" s="838"/>
      <c r="AD149" s="874">
        <v>1800</v>
      </c>
      <c r="AE149" s="874">
        <f t="shared" si="66"/>
        <v>0</v>
      </c>
      <c r="AF149" s="875"/>
      <c r="AG149" s="838" t="s">
        <v>55</v>
      </c>
      <c r="AH149" s="838"/>
      <c r="AI149" s="838"/>
      <c r="AJ149" s="285">
        <f t="shared" ref="AJ149:AJ157" si="80">I149</f>
        <v>1800</v>
      </c>
      <c r="AK149" s="838"/>
      <c r="AM149" s="805">
        <f t="shared" ref="AM149:AM157" si="81">I149*2</f>
        <v>3600</v>
      </c>
      <c r="AN149" s="838"/>
      <c r="AO149" s="838"/>
      <c r="AQ149" s="285">
        <f t="shared" si="76"/>
        <v>3600</v>
      </c>
      <c r="AR149" s="838"/>
      <c r="AS149" s="838"/>
      <c r="AT149" s="838"/>
      <c r="BL149" s="805">
        <f t="shared" si="77"/>
        <v>1800</v>
      </c>
      <c r="BM149" s="805">
        <f t="shared" si="78"/>
        <v>1800</v>
      </c>
      <c r="BO149" s="805">
        <f t="shared" si="79"/>
        <v>1800</v>
      </c>
      <c r="BS149" s="888">
        <f t="shared" si="61"/>
        <v>1800</v>
      </c>
      <c r="BT149" s="889">
        <f t="shared" si="62"/>
        <v>2476199</v>
      </c>
      <c r="BU149" s="892"/>
      <c r="BV149" s="892"/>
      <c r="BW149" s="892"/>
      <c r="BX149" s="892"/>
      <c r="BY149" s="891">
        <f t="shared" si="59"/>
        <v>343801</v>
      </c>
      <c r="CA149" s="805">
        <f t="shared" si="63"/>
        <v>0</v>
      </c>
      <c r="CB149" s="888">
        <f t="shared" si="64"/>
        <v>50458.5714285714</v>
      </c>
      <c r="CC149" s="892"/>
      <c r="CD149" s="892"/>
      <c r="CE149" s="892"/>
      <c r="CF149" s="888">
        <f t="shared" si="60"/>
        <v>9541.4285714286</v>
      </c>
      <c r="CG149" s="892"/>
    </row>
    <row r="150" s="803" customFormat="1" ht="31" hidden="1" customHeight="1" spans="1:85">
      <c r="A150" s="834">
        <v>45838</v>
      </c>
      <c r="B150" s="835" t="s">
        <v>1255</v>
      </c>
      <c r="C150" s="839" t="s">
        <v>84</v>
      </c>
      <c r="D150" s="837">
        <v>4500171924</v>
      </c>
      <c r="E150" s="835" t="s">
        <v>1713</v>
      </c>
      <c r="F150" s="837" t="s">
        <v>1714</v>
      </c>
      <c r="G150" s="838" t="s">
        <v>1147</v>
      </c>
      <c r="H150" s="838" t="s">
        <v>1148</v>
      </c>
      <c r="I150" s="838">
        <v>1200</v>
      </c>
      <c r="J150" s="838">
        <v>0</v>
      </c>
      <c r="K150" s="838">
        <v>12</v>
      </c>
      <c r="L150" s="847">
        <f t="shared" si="73"/>
        <v>100</v>
      </c>
      <c r="M150" s="848">
        <v>45870</v>
      </c>
      <c r="N150" s="848">
        <f t="shared" si="75"/>
        <v>45866</v>
      </c>
      <c r="O150" s="849"/>
      <c r="P150" s="850" t="s">
        <v>46</v>
      </c>
      <c r="Q150" s="838"/>
      <c r="R150" s="862">
        <v>45840</v>
      </c>
      <c r="S150" s="838" t="s">
        <v>58</v>
      </c>
      <c r="T150" s="863" t="s">
        <v>1706</v>
      </c>
      <c r="U150" s="864" t="s">
        <v>1707</v>
      </c>
      <c r="V150" s="848" t="s">
        <v>1260</v>
      </c>
      <c r="W150" s="865">
        <v>2.4244</v>
      </c>
      <c r="X150" s="866">
        <f t="shared" si="74"/>
        <v>2909.28</v>
      </c>
      <c r="Y150" s="899" t="s">
        <v>1715</v>
      </c>
      <c r="Z150" s="898" t="s">
        <v>1709</v>
      </c>
      <c r="AA150" s="838" t="s">
        <v>53</v>
      </c>
      <c r="AB150" s="873" t="s">
        <v>54</v>
      </c>
      <c r="AC150" s="838"/>
      <c r="AD150" s="874">
        <v>1200</v>
      </c>
      <c r="AE150" s="874">
        <f t="shared" si="66"/>
        <v>0</v>
      </c>
      <c r="AF150" s="875"/>
      <c r="AG150" s="838" t="s">
        <v>55</v>
      </c>
      <c r="AH150" s="838"/>
      <c r="AI150" s="838"/>
      <c r="AJ150" s="285">
        <f t="shared" si="80"/>
        <v>1200</v>
      </c>
      <c r="AK150" s="838"/>
      <c r="AM150" s="805">
        <f t="shared" si="81"/>
        <v>2400</v>
      </c>
      <c r="AN150" s="838"/>
      <c r="AO150" s="838"/>
      <c r="AQ150" s="285">
        <f t="shared" si="76"/>
        <v>2400</v>
      </c>
      <c r="AR150" s="838"/>
      <c r="AS150" s="838"/>
      <c r="AT150" s="838"/>
      <c r="BL150" s="805">
        <f t="shared" si="77"/>
        <v>1200</v>
      </c>
      <c r="BM150" s="805">
        <f t="shared" si="78"/>
        <v>1200</v>
      </c>
      <c r="BO150" s="805">
        <f t="shared" si="79"/>
        <v>1200</v>
      </c>
      <c r="BS150" s="888">
        <f t="shared" si="61"/>
        <v>1200</v>
      </c>
      <c r="BT150" s="889">
        <f t="shared" si="62"/>
        <v>2477399</v>
      </c>
      <c r="BU150" s="892"/>
      <c r="BV150" s="892"/>
      <c r="BW150" s="892"/>
      <c r="BX150" s="892"/>
      <c r="BY150" s="891">
        <f t="shared" si="59"/>
        <v>342601</v>
      </c>
      <c r="CA150" s="805">
        <f t="shared" si="63"/>
        <v>0</v>
      </c>
      <c r="CB150" s="888">
        <f t="shared" si="64"/>
        <v>50458.5714285714</v>
      </c>
      <c r="CC150" s="892"/>
      <c r="CD150" s="892"/>
      <c r="CE150" s="892"/>
      <c r="CF150" s="888">
        <f t="shared" si="60"/>
        <v>9541.4285714286</v>
      </c>
      <c r="CG150" s="892"/>
    </row>
    <row r="151" s="803" customFormat="1" ht="31" hidden="1" customHeight="1" spans="1:85">
      <c r="A151" s="834">
        <v>45838</v>
      </c>
      <c r="B151" s="835" t="s">
        <v>1255</v>
      </c>
      <c r="C151" s="839" t="s">
        <v>84</v>
      </c>
      <c r="D151" s="837">
        <v>4500171907</v>
      </c>
      <c r="E151" s="835" t="s">
        <v>1716</v>
      </c>
      <c r="F151" s="837" t="s">
        <v>1717</v>
      </c>
      <c r="G151" s="838" t="s">
        <v>1147</v>
      </c>
      <c r="H151" s="838" t="s">
        <v>1148</v>
      </c>
      <c r="I151" s="838">
        <v>1596</v>
      </c>
      <c r="J151" s="838">
        <v>0</v>
      </c>
      <c r="K151" s="838">
        <v>12</v>
      </c>
      <c r="L151" s="847">
        <f t="shared" si="73"/>
        <v>133</v>
      </c>
      <c r="M151" s="848">
        <v>45870</v>
      </c>
      <c r="N151" s="848">
        <f t="shared" si="75"/>
        <v>45866</v>
      </c>
      <c r="O151" s="849"/>
      <c r="P151" s="850" t="s">
        <v>46</v>
      </c>
      <c r="Q151" s="838"/>
      <c r="R151" s="862">
        <v>45840</v>
      </c>
      <c r="S151" s="838" t="s">
        <v>58</v>
      </c>
      <c r="T151" s="863" t="s">
        <v>1706</v>
      </c>
      <c r="U151" s="864" t="s">
        <v>1718</v>
      </c>
      <c r="V151" s="848" t="s">
        <v>1260</v>
      </c>
      <c r="W151" s="865">
        <v>2.4015</v>
      </c>
      <c r="X151" s="866">
        <f t="shared" si="74"/>
        <v>3832.794</v>
      </c>
      <c r="Y151" s="900" t="s">
        <v>1719</v>
      </c>
      <c r="Z151" s="898" t="s">
        <v>1709</v>
      </c>
      <c r="AA151" s="838" t="s">
        <v>53</v>
      </c>
      <c r="AB151" s="873" t="s">
        <v>54</v>
      </c>
      <c r="AC151" s="838"/>
      <c r="AD151" s="874">
        <v>1596</v>
      </c>
      <c r="AE151" s="874">
        <f t="shared" si="66"/>
        <v>0</v>
      </c>
      <c r="AF151" s="875"/>
      <c r="AG151" s="838" t="s">
        <v>55</v>
      </c>
      <c r="AH151" s="838"/>
      <c r="AI151" s="838"/>
      <c r="AJ151" s="285">
        <f t="shared" si="80"/>
        <v>1596</v>
      </c>
      <c r="AK151" s="838"/>
      <c r="AM151" s="805">
        <f t="shared" si="81"/>
        <v>3192</v>
      </c>
      <c r="AN151" s="838"/>
      <c r="AO151" s="838"/>
      <c r="AQ151" s="285">
        <f t="shared" si="76"/>
        <v>3192</v>
      </c>
      <c r="AR151" s="838"/>
      <c r="AS151" s="838"/>
      <c r="AT151" s="838"/>
      <c r="BL151" s="805">
        <f t="shared" si="77"/>
        <v>1596</v>
      </c>
      <c r="BM151" s="805">
        <f t="shared" si="78"/>
        <v>1596</v>
      </c>
      <c r="BO151" s="805">
        <f t="shared" si="79"/>
        <v>1596</v>
      </c>
      <c r="BS151" s="888">
        <f t="shared" si="61"/>
        <v>1596</v>
      </c>
      <c r="BT151" s="889">
        <f t="shared" si="62"/>
        <v>2478995</v>
      </c>
      <c r="BU151" s="892"/>
      <c r="BV151" s="892"/>
      <c r="BW151" s="892"/>
      <c r="BX151" s="892"/>
      <c r="BY151" s="891">
        <f t="shared" si="59"/>
        <v>341005</v>
      </c>
      <c r="CA151" s="805">
        <f t="shared" si="63"/>
        <v>0</v>
      </c>
      <c r="CB151" s="888">
        <f t="shared" si="64"/>
        <v>50458.5714285714</v>
      </c>
      <c r="CC151" s="892"/>
      <c r="CD151" s="892"/>
      <c r="CE151" s="892"/>
      <c r="CF151" s="888">
        <f t="shared" si="60"/>
        <v>9541.4285714286</v>
      </c>
      <c r="CG151" s="892"/>
    </row>
    <row r="152" s="803" customFormat="1" ht="31" hidden="1" customHeight="1" spans="1:85">
      <c r="A152" s="834">
        <v>45838</v>
      </c>
      <c r="B152" s="835" t="s">
        <v>1255</v>
      </c>
      <c r="C152" s="839" t="s">
        <v>84</v>
      </c>
      <c r="D152" s="837">
        <v>4500171908</v>
      </c>
      <c r="E152" s="835" t="s">
        <v>1720</v>
      </c>
      <c r="F152" s="837" t="s">
        <v>1721</v>
      </c>
      <c r="G152" s="838" t="s">
        <v>1147</v>
      </c>
      <c r="H152" s="838" t="s">
        <v>1148</v>
      </c>
      <c r="I152" s="838">
        <v>996</v>
      </c>
      <c r="J152" s="838">
        <v>0</v>
      </c>
      <c r="K152" s="838">
        <v>12</v>
      </c>
      <c r="L152" s="847">
        <f t="shared" si="73"/>
        <v>83</v>
      </c>
      <c r="M152" s="848">
        <v>45870</v>
      </c>
      <c r="N152" s="848">
        <f t="shared" si="75"/>
        <v>45866</v>
      </c>
      <c r="O152" s="849"/>
      <c r="P152" s="850" t="s">
        <v>46</v>
      </c>
      <c r="Q152" s="838"/>
      <c r="R152" s="862">
        <v>45840</v>
      </c>
      <c r="S152" s="838" t="s">
        <v>58</v>
      </c>
      <c r="T152" s="863" t="s">
        <v>1706</v>
      </c>
      <c r="U152" s="864" t="s">
        <v>1722</v>
      </c>
      <c r="V152" s="848" t="s">
        <v>1260</v>
      </c>
      <c r="W152" s="865">
        <v>2.4244</v>
      </c>
      <c r="X152" s="866">
        <f t="shared" si="74"/>
        <v>2414.7024</v>
      </c>
      <c r="Y152" s="838" t="s">
        <v>1723</v>
      </c>
      <c r="Z152" s="898" t="s">
        <v>1709</v>
      </c>
      <c r="AA152" s="838" t="s">
        <v>53</v>
      </c>
      <c r="AB152" s="873" t="s">
        <v>54</v>
      </c>
      <c r="AC152" s="838"/>
      <c r="AD152" s="874">
        <v>996</v>
      </c>
      <c r="AE152" s="874">
        <f t="shared" si="66"/>
        <v>0</v>
      </c>
      <c r="AF152" s="875"/>
      <c r="AG152" s="838" t="s">
        <v>55</v>
      </c>
      <c r="AH152" s="838"/>
      <c r="AI152" s="838"/>
      <c r="AJ152" s="285">
        <f t="shared" si="80"/>
        <v>996</v>
      </c>
      <c r="AK152" s="838"/>
      <c r="AM152" s="805">
        <f t="shared" si="81"/>
        <v>1992</v>
      </c>
      <c r="AN152" s="838"/>
      <c r="AO152" s="838"/>
      <c r="AQ152" s="285">
        <f t="shared" si="76"/>
        <v>1992</v>
      </c>
      <c r="AR152" s="838"/>
      <c r="AS152" s="838"/>
      <c r="AT152" s="838"/>
      <c r="BL152" s="805">
        <f t="shared" si="77"/>
        <v>996</v>
      </c>
      <c r="BM152" s="805">
        <f t="shared" si="78"/>
        <v>996</v>
      </c>
      <c r="BO152" s="805">
        <f t="shared" si="79"/>
        <v>996</v>
      </c>
      <c r="BS152" s="888">
        <f t="shared" si="61"/>
        <v>996</v>
      </c>
      <c r="BT152" s="889">
        <f t="shared" si="62"/>
        <v>2479991</v>
      </c>
      <c r="BU152" s="892"/>
      <c r="BV152" s="892"/>
      <c r="BW152" s="892"/>
      <c r="BX152" s="892"/>
      <c r="BY152" s="891">
        <f t="shared" si="59"/>
        <v>340009</v>
      </c>
      <c r="CA152" s="805">
        <f t="shared" si="63"/>
        <v>0</v>
      </c>
      <c r="CB152" s="888">
        <f t="shared" si="64"/>
        <v>50458.5714285714</v>
      </c>
      <c r="CC152" s="892"/>
      <c r="CD152" s="892"/>
      <c r="CE152" s="892"/>
      <c r="CF152" s="888">
        <f t="shared" si="60"/>
        <v>9541.4285714286</v>
      </c>
      <c r="CG152" s="892"/>
    </row>
    <row r="153" s="803" customFormat="1" ht="31" hidden="1" customHeight="1" spans="1:85">
      <c r="A153" s="834">
        <v>45838</v>
      </c>
      <c r="B153" s="835" t="s">
        <v>1255</v>
      </c>
      <c r="C153" s="839" t="s">
        <v>84</v>
      </c>
      <c r="D153" s="837">
        <v>4500171919</v>
      </c>
      <c r="E153" s="835" t="s">
        <v>1724</v>
      </c>
      <c r="F153" s="837" t="s">
        <v>1725</v>
      </c>
      <c r="G153" s="838" t="s">
        <v>1147</v>
      </c>
      <c r="H153" s="838" t="s">
        <v>1148</v>
      </c>
      <c r="I153" s="838">
        <v>1200</v>
      </c>
      <c r="J153" s="838">
        <v>0</v>
      </c>
      <c r="K153" s="838">
        <v>12</v>
      </c>
      <c r="L153" s="847">
        <f t="shared" si="73"/>
        <v>100</v>
      </c>
      <c r="M153" s="848">
        <v>45870</v>
      </c>
      <c r="N153" s="848">
        <f t="shared" si="75"/>
        <v>45866</v>
      </c>
      <c r="O153" s="849"/>
      <c r="P153" s="850" t="s">
        <v>46</v>
      </c>
      <c r="Q153" s="838"/>
      <c r="R153" s="862">
        <v>45840</v>
      </c>
      <c r="S153" s="838" t="s">
        <v>58</v>
      </c>
      <c r="T153" s="863" t="s">
        <v>1706</v>
      </c>
      <c r="U153" s="864" t="s">
        <v>1722</v>
      </c>
      <c r="V153" s="848" t="s">
        <v>1260</v>
      </c>
      <c r="W153" s="865">
        <v>2.1015</v>
      </c>
      <c r="X153" s="866">
        <f t="shared" si="74"/>
        <v>2521.8</v>
      </c>
      <c r="Y153" s="838" t="s">
        <v>1726</v>
      </c>
      <c r="Z153" s="898" t="s">
        <v>1709</v>
      </c>
      <c r="AA153" s="838" t="s">
        <v>53</v>
      </c>
      <c r="AB153" s="873" t="s">
        <v>54</v>
      </c>
      <c r="AC153" s="838"/>
      <c r="AD153" s="874">
        <v>1200</v>
      </c>
      <c r="AE153" s="874">
        <f t="shared" si="66"/>
        <v>0</v>
      </c>
      <c r="AF153" s="875"/>
      <c r="AG153" s="838" t="s">
        <v>55</v>
      </c>
      <c r="AH153" s="838"/>
      <c r="AI153" s="838"/>
      <c r="AJ153" s="285">
        <f t="shared" si="80"/>
        <v>1200</v>
      </c>
      <c r="AK153" s="838"/>
      <c r="AM153" s="805">
        <f t="shared" si="81"/>
        <v>2400</v>
      </c>
      <c r="AN153" s="838"/>
      <c r="AO153" s="838"/>
      <c r="AQ153" s="285">
        <f t="shared" si="76"/>
        <v>2400</v>
      </c>
      <c r="AR153" s="838"/>
      <c r="AS153" s="838"/>
      <c r="AT153" s="838"/>
      <c r="BL153" s="805">
        <f t="shared" si="77"/>
        <v>1200</v>
      </c>
      <c r="BM153" s="805">
        <f t="shared" si="78"/>
        <v>1200</v>
      </c>
      <c r="BO153" s="805">
        <f t="shared" si="79"/>
        <v>1200</v>
      </c>
      <c r="BS153" s="888">
        <f t="shared" si="61"/>
        <v>1200</v>
      </c>
      <c r="BT153" s="889">
        <f t="shared" si="62"/>
        <v>2481191</v>
      </c>
      <c r="BU153" s="892"/>
      <c r="BV153" s="892"/>
      <c r="BW153" s="892"/>
      <c r="BX153" s="892"/>
      <c r="BY153" s="891">
        <f t="shared" si="59"/>
        <v>338809</v>
      </c>
      <c r="CA153" s="805">
        <f t="shared" si="63"/>
        <v>0</v>
      </c>
      <c r="CB153" s="888">
        <f t="shared" si="64"/>
        <v>50458.5714285714</v>
      </c>
      <c r="CC153" s="892"/>
      <c r="CD153" s="892"/>
      <c r="CE153" s="892"/>
      <c r="CF153" s="888">
        <f t="shared" si="60"/>
        <v>9541.4285714286</v>
      </c>
      <c r="CG153" s="892"/>
    </row>
    <row r="154" s="803" customFormat="1" ht="31" hidden="1" customHeight="1" spans="1:85">
      <c r="A154" s="834">
        <v>45838</v>
      </c>
      <c r="B154" s="835" t="s">
        <v>1255</v>
      </c>
      <c r="C154" s="839" t="s">
        <v>84</v>
      </c>
      <c r="D154" s="837">
        <v>4500171916</v>
      </c>
      <c r="E154" s="835" t="s">
        <v>1727</v>
      </c>
      <c r="F154" s="837" t="s">
        <v>1728</v>
      </c>
      <c r="G154" s="838" t="s">
        <v>1147</v>
      </c>
      <c r="H154" s="838" t="s">
        <v>1148</v>
      </c>
      <c r="I154" s="838">
        <v>996</v>
      </c>
      <c r="J154" s="838">
        <v>0</v>
      </c>
      <c r="K154" s="838">
        <v>12</v>
      </c>
      <c r="L154" s="847">
        <f t="shared" si="73"/>
        <v>83</v>
      </c>
      <c r="M154" s="848">
        <v>45870</v>
      </c>
      <c r="N154" s="848">
        <f t="shared" si="75"/>
        <v>45866</v>
      </c>
      <c r="O154" s="849"/>
      <c r="P154" s="850" t="s">
        <v>46</v>
      </c>
      <c r="Q154" s="838"/>
      <c r="R154" s="862">
        <v>45840</v>
      </c>
      <c r="S154" s="838" t="s">
        <v>58</v>
      </c>
      <c r="T154" s="863" t="s">
        <v>1706</v>
      </c>
      <c r="U154" s="864" t="s">
        <v>1718</v>
      </c>
      <c r="V154" s="848" t="s">
        <v>1260</v>
      </c>
      <c r="W154" s="865">
        <v>2.4244</v>
      </c>
      <c r="X154" s="866">
        <f t="shared" si="74"/>
        <v>2414.7024</v>
      </c>
      <c r="Y154" s="838" t="s">
        <v>1729</v>
      </c>
      <c r="Z154" s="898" t="s">
        <v>1709</v>
      </c>
      <c r="AA154" s="838" t="s">
        <v>53</v>
      </c>
      <c r="AB154" s="873" t="s">
        <v>54</v>
      </c>
      <c r="AC154" s="838"/>
      <c r="AD154" s="874">
        <v>996</v>
      </c>
      <c r="AE154" s="874">
        <f t="shared" si="66"/>
        <v>0</v>
      </c>
      <c r="AF154" s="875"/>
      <c r="AG154" s="838" t="s">
        <v>55</v>
      </c>
      <c r="AH154" s="838"/>
      <c r="AI154" s="838"/>
      <c r="AJ154" s="285">
        <f t="shared" si="80"/>
        <v>996</v>
      </c>
      <c r="AK154" s="838"/>
      <c r="AM154" s="805">
        <f t="shared" si="81"/>
        <v>1992</v>
      </c>
      <c r="AN154" s="838"/>
      <c r="AO154" s="838"/>
      <c r="AQ154" s="285">
        <f t="shared" si="76"/>
        <v>1992</v>
      </c>
      <c r="AR154" s="838"/>
      <c r="AS154" s="838"/>
      <c r="AT154" s="838"/>
      <c r="BL154" s="805">
        <f t="shared" si="77"/>
        <v>996</v>
      </c>
      <c r="BM154" s="805">
        <f t="shared" si="78"/>
        <v>996</v>
      </c>
      <c r="BO154" s="805">
        <f t="shared" si="79"/>
        <v>996</v>
      </c>
      <c r="BS154" s="888">
        <f t="shared" si="61"/>
        <v>996</v>
      </c>
      <c r="BT154" s="889">
        <f t="shared" si="62"/>
        <v>2482187</v>
      </c>
      <c r="BU154" s="892"/>
      <c r="BV154" s="892"/>
      <c r="BW154" s="892"/>
      <c r="BX154" s="892"/>
      <c r="BY154" s="891">
        <f t="shared" si="59"/>
        <v>337813</v>
      </c>
      <c r="CA154" s="805">
        <f t="shared" si="63"/>
        <v>0</v>
      </c>
      <c r="CB154" s="888">
        <f t="shared" si="64"/>
        <v>50458.5714285714</v>
      </c>
      <c r="CC154" s="892"/>
      <c r="CD154" s="892"/>
      <c r="CE154" s="892"/>
      <c r="CF154" s="888">
        <f t="shared" si="60"/>
        <v>9541.4285714286</v>
      </c>
      <c r="CG154" s="892"/>
    </row>
    <row r="155" s="803" customFormat="1" ht="31" hidden="1" customHeight="1" spans="1:85">
      <c r="A155" s="834">
        <v>45838</v>
      </c>
      <c r="B155" s="835" t="s">
        <v>1255</v>
      </c>
      <c r="C155" s="839" t="s">
        <v>84</v>
      </c>
      <c r="D155" s="837">
        <v>4500171914</v>
      </c>
      <c r="E155" s="835" t="s">
        <v>1730</v>
      </c>
      <c r="F155" s="837" t="s">
        <v>1731</v>
      </c>
      <c r="G155" s="838" t="s">
        <v>1147</v>
      </c>
      <c r="H155" s="838" t="s">
        <v>1148</v>
      </c>
      <c r="I155" s="838">
        <v>600</v>
      </c>
      <c r="J155" s="838">
        <v>0</v>
      </c>
      <c r="K155" s="838">
        <v>12</v>
      </c>
      <c r="L155" s="847">
        <f t="shared" si="73"/>
        <v>50</v>
      </c>
      <c r="M155" s="848">
        <v>45870</v>
      </c>
      <c r="N155" s="848">
        <f t="shared" si="75"/>
        <v>45866</v>
      </c>
      <c r="O155" s="849"/>
      <c r="P155" s="850" t="s">
        <v>46</v>
      </c>
      <c r="Q155" s="838"/>
      <c r="R155" s="862">
        <v>45840</v>
      </c>
      <c r="S155" s="838" t="s">
        <v>58</v>
      </c>
      <c r="T155" s="863" t="s">
        <v>1706</v>
      </c>
      <c r="U155" s="864" t="s">
        <v>1718</v>
      </c>
      <c r="V155" s="848" t="s">
        <v>1260</v>
      </c>
      <c r="W155" s="865">
        <v>2.4244</v>
      </c>
      <c r="X155" s="866">
        <f t="shared" si="74"/>
        <v>1454.64</v>
      </c>
      <c r="Y155" s="838" t="s">
        <v>1732</v>
      </c>
      <c r="Z155" s="898" t="s">
        <v>1709</v>
      </c>
      <c r="AA155" s="838" t="s">
        <v>53</v>
      </c>
      <c r="AB155" s="873" t="s">
        <v>54</v>
      </c>
      <c r="AC155" s="838"/>
      <c r="AD155" s="874">
        <v>600</v>
      </c>
      <c r="AE155" s="874">
        <f t="shared" si="66"/>
        <v>0</v>
      </c>
      <c r="AF155" s="875"/>
      <c r="AG155" s="838" t="s">
        <v>55</v>
      </c>
      <c r="AH155" s="838"/>
      <c r="AI155" s="838"/>
      <c r="AJ155" s="285">
        <f t="shared" si="80"/>
        <v>600</v>
      </c>
      <c r="AK155" s="838"/>
      <c r="AM155" s="805">
        <f t="shared" si="81"/>
        <v>1200</v>
      </c>
      <c r="AN155" s="838"/>
      <c r="AO155" s="838"/>
      <c r="AQ155" s="285">
        <f t="shared" si="76"/>
        <v>1200</v>
      </c>
      <c r="AR155" s="838"/>
      <c r="AS155" s="838"/>
      <c r="AT155" s="838"/>
      <c r="BL155" s="805">
        <f t="shared" si="77"/>
        <v>600</v>
      </c>
      <c r="BM155" s="805">
        <f t="shared" si="78"/>
        <v>600</v>
      </c>
      <c r="BO155" s="805">
        <f t="shared" si="79"/>
        <v>600</v>
      </c>
      <c r="BS155" s="888">
        <f t="shared" si="61"/>
        <v>600</v>
      </c>
      <c r="BT155" s="889">
        <f t="shared" si="62"/>
        <v>2482787</v>
      </c>
      <c r="BU155" s="892"/>
      <c r="BV155" s="892"/>
      <c r="BW155" s="892"/>
      <c r="BX155" s="892"/>
      <c r="BY155" s="891">
        <f t="shared" si="59"/>
        <v>337213</v>
      </c>
      <c r="CA155" s="805">
        <f t="shared" si="63"/>
        <v>0</v>
      </c>
      <c r="CB155" s="888">
        <f t="shared" si="64"/>
        <v>50458.5714285714</v>
      </c>
      <c r="CC155" s="892"/>
      <c r="CD155" s="892"/>
      <c r="CE155" s="892"/>
      <c r="CF155" s="888">
        <f t="shared" si="60"/>
        <v>9541.4285714286</v>
      </c>
      <c r="CG155" s="892"/>
    </row>
    <row r="156" s="803" customFormat="1" ht="31" hidden="1" customHeight="1" spans="1:85">
      <c r="A156" s="834">
        <v>45838</v>
      </c>
      <c r="B156" s="835" t="s">
        <v>1255</v>
      </c>
      <c r="C156" s="839" t="s">
        <v>84</v>
      </c>
      <c r="D156" s="837">
        <v>4500171918</v>
      </c>
      <c r="E156" s="835" t="s">
        <v>1733</v>
      </c>
      <c r="F156" s="837" t="s">
        <v>1734</v>
      </c>
      <c r="G156" s="838" t="s">
        <v>1147</v>
      </c>
      <c r="H156" s="838" t="s">
        <v>1148</v>
      </c>
      <c r="I156" s="838">
        <v>1800</v>
      </c>
      <c r="J156" s="838">
        <v>0</v>
      </c>
      <c r="K156" s="838">
        <v>12</v>
      </c>
      <c r="L156" s="847">
        <f t="shared" si="73"/>
        <v>150</v>
      </c>
      <c r="M156" s="848">
        <v>45870</v>
      </c>
      <c r="N156" s="848">
        <f t="shared" si="75"/>
        <v>45866</v>
      </c>
      <c r="O156" s="849"/>
      <c r="P156" s="850" t="s">
        <v>46</v>
      </c>
      <c r="Q156" s="838"/>
      <c r="R156" s="862">
        <v>45840</v>
      </c>
      <c r="S156" s="838" t="s">
        <v>58</v>
      </c>
      <c r="T156" s="863" t="s">
        <v>1706</v>
      </c>
      <c r="U156" s="864" t="s">
        <v>1707</v>
      </c>
      <c r="V156" s="848" t="s">
        <v>1260</v>
      </c>
      <c r="W156" s="865">
        <v>2.4244</v>
      </c>
      <c r="X156" s="866">
        <f t="shared" si="74"/>
        <v>4363.92</v>
      </c>
      <c r="Y156" s="838" t="s">
        <v>1735</v>
      </c>
      <c r="Z156" s="898" t="s">
        <v>1709</v>
      </c>
      <c r="AA156" s="838" t="s">
        <v>53</v>
      </c>
      <c r="AB156" s="873" t="s">
        <v>54</v>
      </c>
      <c r="AC156" s="838"/>
      <c r="AD156" s="874">
        <v>1800</v>
      </c>
      <c r="AE156" s="874">
        <f t="shared" si="66"/>
        <v>0</v>
      </c>
      <c r="AF156" s="875"/>
      <c r="AG156" s="838" t="s">
        <v>55</v>
      </c>
      <c r="AH156" s="838"/>
      <c r="AI156" s="838"/>
      <c r="AJ156" s="285">
        <f t="shared" si="80"/>
        <v>1800</v>
      </c>
      <c r="AK156" s="838"/>
      <c r="AM156" s="805">
        <f t="shared" si="81"/>
        <v>3600</v>
      </c>
      <c r="AN156" s="838"/>
      <c r="AO156" s="838"/>
      <c r="AQ156" s="285">
        <f t="shared" si="76"/>
        <v>3600</v>
      </c>
      <c r="AR156" s="838"/>
      <c r="AS156" s="838"/>
      <c r="AT156" s="838"/>
      <c r="BL156" s="805">
        <f t="shared" si="77"/>
        <v>1800</v>
      </c>
      <c r="BM156" s="805">
        <f t="shared" si="78"/>
        <v>1800</v>
      </c>
      <c r="BO156" s="805">
        <f t="shared" si="79"/>
        <v>1800</v>
      </c>
      <c r="BS156" s="888">
        <f t="shared" si="61"/>
        <v>1800</v>
      </c>
      <c r="BT156" s="889">
        <f t="shared" si="62"/>
        <v>2484587</v>
      </c>
      <c r="BU156" s="892"/>
      <c r="BV156" s="892"/>
      <c r="BW156" s="892"/>
      <c r="BX156" s="892"/>
      <c r="BY156" s="891">
        <f t="shared" si="59"/>
        <v>335413</v>
      </c>
      <c r="CA156" s="805">
        <f t="shared" si="63"/>
        <v>0</v>
      </c>
      <c r="CB156" s="888">
        <f t="shared" si="64"/>
        <v>50458.5714285714</v>
      </c>
      <c r="CC156" s="892"/>
      <c r="CD156" s="892"/>
      <c r="CE156" s="892"/>
      <c r="CF156" s="888">
        <f t="shared" si="60"/>
        <v>9541.4285714286</v>
      </c>
      <c r="CG156" s="892"/>
    </row>
    <row r="157" s="803" customFormat="1" ht="31" hidden="1" customHeight="1" spans="1:85">
      <c r="A157" s="834">
        <v>45838</v>
      </c>
      <c r="B157" s="835" t="s">
        <v>1255</v>
      </c>
      <c r="C157" s="839" t="s">
        <v>84</v>
      </c>
      <c r="D157" s="837">
        <v>4500171912</v>
      </c>
      <c r="E157" s="835" t="s">
        <v>1736</v>
      </c>
      <c r="F157" s="837" t="s">
        <v>1737</v>
      </c>
      <c r="G157" s="838" t="s">
        <v>1147</v>
      </c>
      <c r="H157" s="838" t="s">
        <v>1148</v>
      </c>
      <c r="I157" s="838">
        <v>1596</v>
      </c>
      <c r="J157" s="838">
        <v>0</v>
      </c>
      <c r="K157" s="838">
        <v>12</v>
      </c>
      <c r="L157" s="847">
        <f t="shared" si="73"/>
        <v>133</v>
      </c>
      <c r="M157" s="848">
        <v>45870</v>
      </c>
      <c r="N157" s="848">
        <f t="shared" si="75"/>
        <v>45866</v>
      </c>
      <c r="O157" s="849"/>
      <c r="P157" s="850" t="s">
        <v>46</v>
      </c>
      <c r="Q157" s="838"/>
      <c r="R157" s="862">
        <v>45840</v>
      </c>
      <c r="S157" s="838" t="s">
        <v>58</v>
      </c>
      <c r="T157" s="863" t="s">
        <v>1706</v>
      </c>
      <c r="U157" s="864" t="s">
        <v>1738</v>
      </c>
      <c r="V157" s="848" t="s">
        <v>1260</v>
      </c>
      <c r="W157" s="865">
        <v>2.4244</v>
      </c>
      <c r="X157" s="866">
        <f t="shared" si="74"/>
        <v>3869.3424</v>
      </c>
      <c r="Y157" s="838" t="s">
        <v>1739</v>
      </c>
      <c r="Z157" s="898" t="s">
        <v>1709</v>
      </c>
      <c r="AA157" s="838" t="s">
        <v>53</v>
      </c>
      <c r="AB157" s="873" t="s">
        <v>54</v>
      </c>
      <c r="AC157" s="838"/>
      <c r="AD157" s="874">
        <v>1596</v>
      </c>
      <c r="AE157" s="874">
        <f t="shared" si="66"/>
        <v>0</v>
      </c>
      <c r="AF157" s="875"/>
      <c r="AG157" s="838" t="s">
        <v>55</v>
      </c>
      <c r="AH157" s="838"/>
      <c r="AI157" s="838"/>
      <c r="AJ157" s="285">
        <f t="shared" si="80"/>
        <v>1596</v>
      </c>
      <c r="AK157" s="838"/>
      <c r="AM157" s="805">
        <f t="shared" si="81"/>
        <v>3192</v>
      </c>
      <c r="AN157" s="838"/>
      <c r="AO157" s="838"/>
      <c r="AQ157" s="285">
        <f t="shared" si="76"/>
        <v>3192</v>
      </c>
      <c r="AR157" s="838"/>
      <c r="AS157" s="838"/>
      <c r="AT157" s="838"/>
      <c r="BL157" s="805">
        <f t="shared" si="77"/>
        <v>1596</v>
      </c>
      <c r="BM157" s="805">
        <f t="shared" si="78"/>
        <v>1596</v>
      </c>
      <c r="BO157" s="805">
        <f t="shared" si="79"/>
        <v>1596</v>
      </c>
      <c r="BS157" s="888">
        <f t="shared" si="61"/>
        <v>1596</v>
      </c>
      <c r="BT157" s="889">
        <f t="shared" si="62"/>
        <v>2486183</v>
      </c>
      <c r="BU157" s="892"/>
      <c r="BV157" s="892"/>
      <c r="BW157" s="892"/>
      <c r="BX157" s="892"/>
      <c r="BY157" s="891">
        <f t="shared" si="59"/>
        <v>333817</v>
      </c>
      <c r="CA157" s="805">
        <f t="shared" si="63"/>
        <v>0</v>
      </c>
      <c r="CB157" s="888">
        <f t="shared" si="64"/>
        <v>50458.5714285714</v>
      </c>
      <c r="CC157" s="892"/>
      <c r="CD157" s="892"/>
      <c r="CE157" s="892"/>
      <c r="CF157" s="888">
        <f t="shared" si="60"/>
        <v>9541.4285714286</v>
      </c>
      <c r="CG157" s="892"/>
    </row>
    <row r="158" s="803" customFormat="1" ht="31" hidden="1" customHeight="1" spans="1:85">
      <c r="A158" s="834">
        <v>45838</v>
      </c>
      <c r="B158" s="835" t="s">
        <v>1255</v>
      </c>
      <c r="C158" s="839" t="s">
        <v>84</v>
      </c>
      <c r="D158" s="837">
        <v>4500171922</v>
      </c>
      <c r="E158" s="835" t="s">
        <v>1740</v>
      </c>
      <c r="F158" s="837" t="s">
        <v>1741</v>
      </c>
      <c r="G158" s="838" t="s">
        <v>1742</v>
      </c>
      <c r="H158" s="838" t="s">
        <v>1743</v>
      </c>
      <c r="I158" s="838">
        <v>896</v>
      </c>
      <c r="J158" s="838">
        <v>0</v>
      </c>
      <c r="K158" s="838">
        <v>8</v>
      </c>
      <c r="L158" s="847">
        <f t="shared" ref="L158:L178" si="82">I158/K158</f>
        <v>112</v>
      </c>
      <c r="M158" s="848">
        <v>45870</v>
      </c>
      <c r="N158" s="848">
        <f t="shared" ref="N158:N175" si="83">M158-4</f>
        <v>45866</v>
      </c>
      <c r="O158" s="849"/>
      <c r="P158" s="850" t="s">
        <v>46</v>
      </c>
      <c r="Q158" s="838"/>
      <c r="R158" s="862">
        <v>45840</v>
      </c>
      <c r="S158" s="838" t="s">
        <v>58</v>
      </c>
      <c r="T158" s="863" t="s">
        <v>1706</v>
      </c>
      <c r="U158" s="864" t="s">
        <v>1707</v>
      </c>
      <c r="V158" s="848" t="s">
        <v>1260</v>
      </c>
      <c r="W158" s="865">
        <v>3.606</v>
      </c>
      <c r="X158" s="866">
        <f t="shared" si="74"/>
        <v>3230.976</v>
      </c>
      <c r="Y158" s="838" t="s">
        <v>1708</v>
      </c>
      <c r="Z158" s="838" t="s">
        <v>1742</v>
      </c>
      <c r="AA158" s="838" t="s">
        <v>53</v>
      </c>
      <c r="AB158" s="873" t="s">
        <v>54</v>
      </c>
      <c r="AC158" s="838"/>
      <c r="AD158" s="874">
        <v>896</v>
      </c>
      <c r="AE158" s="874">
        <f t="shared" ref="AE158:AE175" si="84">AD158-I158</f>
        <v>0</v>
      </c>
      <c r="AF158" s="875"/>
      <c r="AG158" s="838" t="s">
        <v>55</v>
      </c>
      <c r="AH158" s="838"/>
      <c r="AI158" s="838">
        <f t="shared" ref="AI158:AI169" si="85">I158*3</f>
        <v>2688</v>
      </c>
      <c r="AJ158" s="838"/>
      <c r="AK158" s="838"/>
      <c r="AM158" s="803">
        <f>I158*3</f>
        <v>2688</v>
      </c>
      <c r="AN158" s="838"/>
      <c r="AO158" s="838"/>
      <c r="AQ158" s="838">
        <f>I158*3</f>
        <v>2688</v>
      </c>
      <c r="AR158" s="838"/>
      <c r="AS158" s="838"/>
      <c r="AT158" s="838"/>
      <c r="BP158" s="803">
        <f t="shared" ref="BP158:BP169" si="86">I158</f>
        <v>896</v>
      </c>
      <c r="BQ158" s="803">
        <f t="shared" ref="BQ158:BQ169" si="87">I158</f>
        <v>896</v>
      </c>
      <c r="BR158" s="803">
        <f t="shared" ref="BR158:BR169" si="88">I158</f>
        <v>896</v>
      </c>
      <c r="BS158" s="888">
        <f t="shared" si="61"/>
        <v>2688</v>
      </c>
      <c r="BT158" s="889">
        <f t="shared" si="62"/>
        <v>2488871</v>
      </c>
      <c r="BU158" s="892"/>
      <c r="BV158" s="892"/>
      <c r="BW158" s="892"/>
      <c r="BX158" s="892"/>
      <c r="BY158" s="891">
        <f t="shared" si="59"/>
        <v>331129</v>
      </c>
      <c r="CA158" s="805">
        <f t="shared" si="63"/>
        <v>0</v>
      </c>
      <c r="CB158" s="888">
        <f t="shared" si="64"/>
        <v>50458.5714285714</v>
      </c>
      <c r="CC158" s="892"/>
      <c r="CD158" s="892"/>
      <c r="CE158" s="892"/>
      <c r="CF158" s="888">
        <f t="shared" si="60"/>
        <v>9541.4285714286</v>
      </c>
      <c r="CG158" s="892"/>
    </row>
    <row r="159" s="803" customFormat="1" ht="31" hidden="1" customHeight="1" spans="1:85">
      <c r="A159" s="834">
        <v>45838</v>
      </c>
      <c r="B159" s="835" t="s">
        <v>1255</v>
      </c>
      <c r="C159" s="839" t="s">
        <v>84</v>
      </c>
      <c r="D159" s="837">
        <v>4500171921</v>
      </c>
      <c r="E159" s="835" t="s">
        <v>1744</v>
      </c>
      <c r="F159" s="837" t="s">
        <v>1745</v>
      </c>
      <c r="G159" s="838" t="s">
        <v>1742</v>
      </c>
      <c r="H159" s="838" t="s">
        <v>1743</v>
      </c>
      <c r="I159" s="838">
        <v>1200</v>
      </c>
      <c r="J159" s="838">
        <v>0</v>
      </c>
      <c r="K159" s="838">
        <v>8</v>
      </c>
      <c r="L159" s="847">
        <f t="shared" si="82"/>
        <v>150</v>
      </c>
      <c r="M159" s="848">
        <v>45870</v>
      </c>
      <c r="N159" s="848">
        <f t="shared" si="83"/>
        <v>45866</v>
      </c>
      <c r="O159" s="849"/>
      <c r="P159" s="850" t="s">
        <v>46</v>
      </c>
      <c r="Q159" s="838"/>
      <c r="R159" s="862">
        <v>45840</v>
      </c>
      <c r="S159" s="838" t="s">
        <v>58</v>
      </c>
      <c r="T159" s="863" t="s">
        <v>1706</v>
      </c>
      <c r="U159" s="864" t="s">
        <v>1707</v>
      </c>
      <c r="V159" s="848" t="s">
        <v>1260</v>
      </c>
      <c r="W159" s="865">
        <v>3.606</v>
      </c>
      <c r="X159" s="866">
        <f t="shared" si="74"/>
        <v>4327.2</v>
      </c>
      <c r="Y159" s="838" t="s">
        <v>1712</v>
      </c>
      <c r="Z159" s="838" t="s">
        <v>1742</v>
      </c>
      <c r="AA159" s="838" t="s">
        <v>53</v>
      </c>
      <c r="AB159" s="873" t="s">
        <v>54</v>
      </c>
      <c r="AC159" s="838"/>
      <c r="AD159" s="874">
        <v>1200</v>
      </c>
      <c r="AE159" s="874">
        <f t="shared" si="84"/>
        <v>0</v>
      </c>
      <c r="AF159" s="875"/>
      <c r="AG159" s="838" t="s">
        <v>55</v>
      </c>
      <c r="AH159" s="838"/>
      <c r="AI159" s="838">
        <f t="shared" si="85"/>
        <v>3600</v>
      </c>
      <c r="AJ159" s="838"/>
      <c r="AK159" s="838"/>
      <c r="AM159" s="803">
        <f t="shared" ref="AM159:AM169" si="89">I159*3</f>
        <v>3600</v>
      </c>
      <c r="AN159" s="838"/>
      <c r="AO159" s="838"/>
      <c r="AQ159" s="838">
        <f t="shared" ref="AQ159:AQ169" si="90">I159*3</f>
        <v>3600</v>
      </c>
      <c r="AR159" s="838"/>
      <c r="AS159" s="838"/>
      <c r="AT159" s="838"/>
      <c r="BP159" s="803">
        <f t="shared" si="86"/>
        <v>1200</v>
      </c>
      <c r="BQ159" s="803">
        <f t="shared" si="87"/>
        <v>1200</v>
      </c>
      <c r="BR159" s="803">
        <f t="shared" si="88"/>
        <v>1200</v>
      </c>
      <c r="BS159" s="888">
        <f t="shared" si="61"/>
        <v>3600</v>
      </c>
      <c r="BT159" s="889">
        <f t="shared" si="62"/>
        <v>2492471</v>
      </c>
      <c r="BU159" s="892"/>
      <c r="BV159" s="892"/>
      <c r="BW159" s="892"/>
      <c r="BX159" s="892"/>
      <c r="BY159" s="891">
        <f t="shared" si="59"/>
        <v>327529</v>
      </c>
      <c r="CA159" s="805">
        <f t="shared" si="63"/>
        <v>0</v>
      </c>
      <c r="CB159" s="888">
        <f t="shared" si="64"/>
        <v>50458.5714285714</v>
      </c>
      <c r="CC159" s="892"/>
      <c r="CD159" s="892"/>
      <c r="CE159" s="892"/>
      <c r="CF159" s="888">
        <f t="shared" si="60"/>
        <v>9541.4285714286</v>
      </c>
      <c r="CG159" s="892"/>
    </row>
    <row r="160" s="803" customFormat="1" ht="31" hidden="1" customHeight="1" spans="1:85">
      <c r="A160" s="834">
        <v>45838</v>
      </c>
      <c r="B160" s="835" t="s">
        <v>1255</v>
      </c>
      <c r="C160" s="839" t="s">
        <v>84</v>
      </c>
      <c r="D160" s="837">
        <v>4500171924</v>
      </c>
      <c r="E160" s="835" t="s">
        <v>1746</v>
      </c>
      <c r="F160" s="837" t="s">
        <v>1747</v>
      </c>
      <c r="G160" s="838" t="s">
        <v>1742</v>
      </c>
      <c r="H160" s="838" t="s">
        <v>1743</v>
      </c>
      <c r="I160" s="838">
        <v>896</v>
      </c>
      <c r="J160" s="838">
        <v>0</v>
      </c>
      <c r="K160" s="838">
        <v>8</v>
      </c>
      <c r="L160" s="847">
        <f t="shared" si="82"/>
        <v>112</v>
      </c>
      <c r="M160" s="848">
        <v>45870</v>
      </c>
      <c r="N160" s="848">
        <f t="shared" si="83"/>
        <v>45866</v>
      </c>
      <c r="O160" s="849"/>
      <c r="P160" s="850" t="s">
        <v>46</v>
      </c>
      <c r="Q160" s="838"/>
      <c r="R160" s="862">
        <v>45840</v>
      </c>
      <c r="S160" s="838" t="s">
        <v>58</v>
      </c>
      <c r="T160" s="863" t="s">
        <v>1706</v>
      </c>
      <c r="U160" s="864" t="s">
        <v>1707</v>
      </c>
      <c r="V160" s="848" t="s">
        <v>1260</v>
      </c>
      <c r="W160" s="865">
        <v>3.606</v>
      </c>
      <c r="X160" s="866">
        <f t="shared" si="74"/>
        <v>3230.976</v>
      </c>
      <c r="Y160" s="899" t="s">
        <v>1715</v>
      </c>
      <c r="Z160" s="838" t="s">
        <v>1742</v>
      </c>
      <c r="AA160" s="838" t="s">
        <v>53</v>
      </c>
      <c r="AB160" s="873" t="s">
        <v>54</v>
      </c>
      <c r="AC160" s="838"/>
      <c r="AD160" s="874">
        <v>896</v>
      </c>
      <c r="AE160" s="874">
        <f t="shared" si="84"/>
        <v>0</v>
      </c>
      <c r="AF160" s="875"/>
      <c r="AG160" s="838" t="s">
        <v>55</v>
      </c>
      <c r="AH160" s="838"/>
      <c r="AI160" s="838">
        <f t="shared" si="85"/>
        <v>2688</v>
      </c>
      <c r="AJ160" s="838"/>
      <c r="AK160" s="838"/>
      <c r="AM160" s="803">
        <f t="shared" si="89"/>
        <v>2688</v>
      </c>
      <c r="AN160" s="838"/>
      <c r="AO160" s="838"/>
      <c r="AQ160" s="838">
        <f t="shared" si="90"/>
        <v>2688</v>
      </c>
      <c r="AR160" s="838"/>
      <c r="AS160" s="838"/>
      <c r="AT160" s="838"/>
      <c r="BP160" s="803">
        <f t="shared" si="86"/>
        <v>896</v>
      </c>
      <c r="BQ160" s="803">
        <f t="shared" si="87"/>
        <v>896</v>
      </c>
      <c r="BR160" s="803">
        <f t="shared" si="88"/>
        <v>896</v>
      </c>
      <c r="BS160" s="888">
        <f t="shared" si="61"/>
        <v>2688</v>
      </c>
      <c r="BT160" s="889">
        <f t="shared" si="62"/>
        <v>2495159</v>
      </c>
      <c r="BU160" s="892"/>
      <c r="BV160" s="892"/>
      <c r="BW160" s="892"/>
      <c r="BX160" s="892"/>
      <c r="BY160" s="891">
        <f t="shared" si="59"/>
        <v>324841</v>
      </c>
      <c r="CA160" s="805">
        <f t="shared" si="63"/>
        <v>0</v>
      </c>
      <c r="CB160" s="888">
        <f t="shared" si="64"/>
        <v>50458.5714285714</v>
      </c>
      <c r="CC160" s="892"/>
      <c r="CD160" s="892"/>
      <c r="CE160" s="892"/>
      <c r="CF160" s="888">
        <f t="shared" si="60"/>
        <v>9541.4285714286</v>
      </c>
      <c r="CG160" s="892"/>
    </row>
    <row r="161" s="803" customFormat="1" ht="31" hidden="1" customHeight="1" spans="1:85">
      <c r="A161" s="834">
        <v>45838</v>
      </c>
      <c r="B161" s="835" t="s">
        <v>1255</v>
      </c>
      <c r="C161" s="839" t="s">
        <v>84</v>
      </c>
      <c r="D161" s="837">
        <v>4500171923</v>
      </c>
      <c r="E161" s="835" t="s">
        <v>1748</v>
      </c>
      <c r="F161" s="837" t="s">
        <v>1749</v>
      </c>
      <c r="G161" s="838" t="s">
        <v>1742</v>
      </c>
      <c r="H161" s="838" t="s">
        <v>1743</v>
      </c>
      <c r="I161" s="838">
        <v>1200</v>
      </c>
      <c r="J161" s="838">
        <v>0</v>
      </c>
      <c r="K161" s="838">
        <v>8</v>
      </c>
      <c r="L161" s="847">
        <f t="shared" si="82"/>
        <v>150</v>
      </c>
      <c r="M161" s="848">
        <v>45870</v>
      </c>
      <c r="N161" s="848">
        <f t="shared" si="83"/>
        <v>45866</v>
      </c>
      <c r="O161" s="849"/>
      <c r="P161" s="850" t="s">
        <v>46</v>
      </c>
      <c r="Q161" s="838"/>
      <c r="R161" s="862">
        <v>45840</v>
      </c>
      <c r="S161" s="838" t="s">
        <v>58</v>
      </c>
      <c r="T161" s="863" t="s">
        <v>1706</v>
      </c>
      <c r="U161" s="864" t="s">
        <v>1707</v>
      </c>
      <c r="V161" s="848" t="s">
        <v>1260</v>
      </c>
      <c r="W161" s="865">
        <v>3.5776</v>
      </c>
      <c r="X161" s="866">
        <f t="shared" si="74"/>
        <v>4293.12</v>
      </c>
      <c r="Y161" s="838" t="s">
        <v>1750</v>
      </c>
      <c r="Z161" s="838" t="s">
        <v>1742</v>
      </c>
      <c r="AA161" s="838" t="s">
        <v>53</v>
      </c>
      <c r="AB161" s="873" t="s">
        <v>54</v>
      </c>
      <c r="AC161" s="838"/>
      <c r="AD161" s="874">
        <v>1200</v>
      </c>
      <c r="AE161" s="874">
        <f t="shared" si="84"/>
        <v>0</v>
      </c>
      <c r="AF161" s="875"/>
      <c r="AG161" s="838" t="s">
        <v>55</v>
      </c>
      <c r="AH161" s="838"/>
      <c r="AI161" s="838">
        <f t="shared" si="85"/>
        <v>3600</v>
      </c>
      <c r="AJ161" s="838"/>
      <c r="AK161" s="838"/>
      <c r="AM161" s="803">
        <f t="shared" si="89"/>
        <v>3600</v>
      </c>
      <c r="AN161" s="838"/>
      <c r="AO161" s="838"/>
      <c r="AQ161" s="838">
        <f t="shared" si="90"/>
        <v>3600</v>
      </c>
      <c r="AR161" s="838"/>
      <c r="AS161" s="838"/>
      <c r="AT161" s="838"/>
      <c r="BP161" s="803">
        <f t="shared" si="86"/>
        <v>1200</v>
      </c>
      <c r="BQ161" s="803">
        <f t="shared" si="87"/>
        <v>1200</v>
      </c>
      <c r="BR161" s="803">
        <f t="shared" si="88"/>
        <v>1200</v>
      </c>
      <c r="BS161" s="888">
        <f t="shared" si="61"/>
        <v>3600</v>
      </c>
      <c r="BT161" s="889">
        <f t="shared" si="62"/>
        <v>2498759</v>
      </c>
      <c r="BU161" s="892"/>
      <c r="BV161" s="892"/>
      <c r="BW161" s="892"/>
      <c r="BX161" s="892"/>
      <c r="BY161" s="891">
        <f t="shared" si="59"/>
        <v>321241</v>
      </c>
      <c r="CA161" s="805">
        <f t="shared" si="63"/>
        <v>0</v>
      </c>
      <c r="CB161" s="888">
        <f t="shared" si="64"/>
        <v>50458.5714285714</v>
      </c>
      <c r="CC161" s="892"/>
      <c r="CD161" s="892"/>
      <c r="CE161" s="892"/>
      <c r="CF161" s="888">
        <f t="shared" si="60"/>
        <v>9541.4285714286</v>
      </c>
      <c r="CG161" s="892"/>
    </row>
    <row r="162" s="803" customFormat="1" ht="31" hidden="1" customHeight="1" spans="1:85">
      <c r="A162" s="834">
        <v>45838</v>
      </c>
      <c r="B162" s="835" t="s">
        <v>1255</v>
      </c>
      <c r="C162" s="839" t="s">
        <v>84</v>
      </c>
      <c r="D162" s="837">
        <v>4500171907</v>
      </c>
      <c r="E162" s="835" t="s">
        <v>1751</v>
      </c>
      <c r="F162" s="837" t="s">
        <v>1752</v>
      </c>
      <c r="G162" s="838" t="s">
        <v>1742</v>
      </c>
      <c r="H162" s="838" t="s">
        <v>1743</v>
      </c>
      <c r="I162" s="838">
        <v>600</v>
      </c>
      <c r="J162" s="838">
        <v>0</v>
      </c>
      <c r="K162" s="838">
        <v>8</v>
      </c>
      <c r="L162" s="847">
        <f t="shared" si="82"/>
        <v>75</v>
      </c>
      <c r="M162" s="848">
        <v>45870</v>
      </c>
      <c r="N162" s="848">
        <f t="shared" si="83"/>
        <v>45866</v>
      </c>
      <c r="O162" s="849"/>
      <c r="P162" s="850" t="s">
        <v>46</v>
      </c>
      <c r="Q162" s="838"/>
      <c r="R162" s="862">
        <v>45840</v>
      </c>
      <c r="S162" s="838" t="s">
        <v>58</v>
      </c>
      <c r="T162" s="863" t="s">
        <v>1706</v>
      </c>
      <c r="U162" s="864" t="s">
        <v>1718</v>
      </c>
      <c r="V162" s="848" t="s">
        <v>1260</v>
      </c>
      <c r="W162" s="865">
        <v>3.606</v>
      </c>
      <c r="X162" s="866">
        <f t="shared" si="74"/>
        <v>2163.6</v>
      </c>
      <c r="Y162" s="838" t="s">
        <v>1753</v>
      </c>
      <c r="Z162" s="838" t="s">
        <v>1742</v>
      </c>
      <c r="AA162" s="838" t="s">
        <v>53</v>
      </c>
      <c r="AB162" s="873" t="s">
        <v>54</v>
      </c>
      <c r="AC162" s="838"/>
      <c r="AD162" s="874">
        <v>600</v>
      </c>
      <c r="AE162" s="874">
        <f t="shared" si="84"/>
        <v>0</v>
      </c>
      <c r="AF162" s="875"/>
      <c r="AG162" s="838" t="s">
        <v>55</v>
      </c>
      <c r="AH162" s="838"/>
      <c r="AI162" s="838">
        <f t="shared" si="85"/>
        <v>1800</v>
      </c>
      <c r="AJ162" s="838"/>
      <c r="AK162" s="838"/>
      <c r="AM162" s="803">
        <f t="shared" si="89"/>
        <v>1800</v>
      </c>
      <c r="AN162" s="838"/>
      <c r="AO162" s="838"/>
      <c r="AQ162" s="838">
        <f t="shared" si="90"/>
        <v>1800</v>
      </c>
      <c r="AR162" s="838"/>
      <c r="AS162" s="838"/>
      <c r="AT162" s="838"/>
      <c r="BP162" s="803">
        <f t="shared" si="86"/>
        <v>600</v>
      </c>
      <c r="BQ162" s="803">
        <f t="shared" si="87"/>
        <v>600</v>
      </c>
      <c r="BR162" s="803">
        <f t="shared" si="88"/>
        <v>600</v>
      </c>
      <c r="BS162" s="888">
        <f t="shared" si="61"/>
        <v>1800</v>
      </c>
      <c r="BT162" s="889">
        <f t="shared" si="62"/>
        <v>2500559</v>
      </c>
      <c r="BU162" s="892"/>
      <c r="BV162" s="892"/>
      <c r="BW162" s="892"/>
      <c r="BX162" s="892"/>
      <c r="BY162" s="891">
        <f t="shared" si="59"/>
        <v>319441</v>
      </c>
      <c r="CA162" s="805">
        <f t="shared" si="63"/>
        <v>0</v>
      </c>
      <c r="CB162" s="888">
        <f t="shared" si="64"/>
        <v>50458.5714285714</v>
      </c>
      <c r="CC162" s="892"/>
      <c r="CD162" s="892"/>
      <c r="CE162" s="892"/>
      <c r="CF162" s="888">
        <f t="shared" si="60"/>
        <v>9541.4285714286</v>
      </c>
      <c r="CG162" s="892"/>
    </row>
    <row r="163" s="803" customFormat="1" ht="31" hidden="1" customHeight="1" spans="1:85">
      <c r="A163" s="834">
        <v>45838</v>
      </c>
      <c r="B163" s="835" t="s">
        <v>1255</v>
      </c>
      <c r="C163" s="839" t="s">
        <v>84</v>
      </c>
      <c r="D163" s="837">
        <v>4500171908</v>
      </c>
      <c r="E163" s="835" t="s">
        <v>1754</v>
      </c>
      <c r="F163" s="837" t="s">
        <v>1755</v>
      </c>
      <c r="G163" s="838" t="s">
        <v>1742</v>
      </c>
      <c r="H163" s="838" t="s">
        <v>1743</v>
      </c>
      <c r="I163" s="838">
        <v>800</v>
      </c>
      <c r="J163" s="838">
        <v>0</v>
      </c>
      <c r="K163" s="838">
        <v>8</v>
      </c>
      <c r="L163" s="847">
        <f t="shared" si="82"/>
        <v>100</v>
      </c>
      <c r="M163" s="848">
        <v>45870</v>
      </c>
      <c r="N163" s="848">
        <f t="shared" si="83"/>
        <v>45866</v>
      </c>
      <c r="O163" s="849"/>
      <c r="P163" s="850" t="s">
        <v>46</v>
      </c>
      <c r="Q163" s="838"/>
      <c r="R163" s="862">
        <v>45840</v>
      </c>
      <c r="S163" s="838" t="s">
        <v>58</v>
      </c>
      <c r="T163" s="863" t="s">
        <v>1706</v>
      </c>
      <c r="U163" s="864" t="s">
        <v>1722</v>
      </c>
      <c r="V163" s="848" t="s">
        <v>1260</v>
      </c>
      <c r="W163" s="865">
        <v>3.606</v>
      </c>
      <c r="X163" s="866">
        <f t="shared" ref="X158:X169" si="91">W163*I163</f>
        <v>2884.8</v>
      </c>
      <c r="Y163" s="900" t="s">
        <v>1756</v>
      </c>
      <c r="Z163" s="838" t="s">
        <v>1742</v>
      </c>
      <c r="AA163" s="838" t="s">
        <v>53</v>
      </c>
      <c r="AB163" s="873" t="s">
        <v>54</v>
      </c>
      <c r="AC163" s="838"/>
      <c r="AD163" s="874">
        <v>800</v>
      </c>
      <c r="AE163" s="874">
        <f t="shared" si="84"/>
        <v>0</v>
      </c>
      <c r="AF163" s="875"/>
      <c r="AG163" s="838" t="s">
        <v>55</v>
      </c>
      <c r="AH163" s="838"/>
      <c r="AI163" s="838">
        <f t="shared" si="85"/>
        <v>2400</v>
      </c>
      <c r="AJ163" s="838"/>
      <c r="AK163" s="838"/>
      <c r="AM163" s="803">
        <f t="shared" si="89"/>
        <v>2400</v>
      </c>
      <c r="AN163" s="838"/>
      <c r="AO163" s="838"/>
      <c r="AQ163" s="838">
        <f t="shared" si="90"/>
        <v>2400</v>
      </c>
      <c r="AR163" s="838"/>
      <c r="AS163" s="838"/>
      <c r="AT163" s="838"/>
      <c r="BP163" s="803">
        <f t="shared" si="86"/>
        <v>800</v>
      </c>
      <c r="BQ163" s="803">
        <f t="shared" si="87"/>
        <v>800</v>
      </c>
      <c r="BR163" s="803">
        <f t="shared" si="88"/>
        <v>800</v>
      </c>
      <c r="BS163" s="888">
        <f t="shared" si="61"/>
        <v>2400</v>
      </c>
      <c r="BT163" s="889">
        <f t="shared" si="62"/>
        <v>2502959</v>
      </c>
      <c r="BU163" s="892"/>
      <c r="BV163" s="892"/>
      <c r="BW163" s="892"/>
      <c r="BX163" s="892"/>
      <c r="BY163" s="891">
        <f t="shared" si="59"/>
        <v>317041</v>
      </c>
      <c r="CA163" s="805">
        <f t="shared" si="63"/>
        <v>0</v>
      </c>
      <c r="CB163" s="888">
        <f t="shared" si="64"/>
        <v>50458.5714285714</v>
      </c>
      <c r="CC163" s="892"/>
      <c r="CD163" s="892"/>
      <c r="CE163" s="892"/>
      <c r="CF163" s="888">
        <f t="shared" si="60"/>
        <v>9541.4285714286</v>
      </c>
      <c r="CG163" s="892"/>
    </row>
    <row r="164" s="803" customFormat="1" ht="31" hidden="1" customHeight="1" spans="1:85">
      <c r="A164" s="834">
        <v>45838</v>
      </c>
      <c r="B164" s="835" t="s">
        <v>1255</v>
      </c>
      <c r="C164" s="839" t="s">
        <v>84</v>
      </c>
      <c r="D164" s="837">
        <v>4500171919</v>
      </c>
      <c r="E164" s="835" t="s">
        <v>1757</v>
      </c>
      <c r="F164" s="837" t="s">
        <v>1758</v>
      </c>
      <c r="G164" s="838" t="s">
        <v>1742</v>
      </c>
      <c r="H164" s="838" t="s">
        <v>1743</v>
      </c>
      <c r="I164" s="838">
        <v>1000</v>
      </c>
      <c r="J164" s="838">
        <v>0</v>
      </c>
      <c r="K164" s="838">
        <v>8</v>
      </c>
      <c r="L164" s="847">
        <f t="shared" si="82"/>
        <v>125</v>
      </c>
      <c r="M164" s="848">
        <v>45870</v>
      </c>
      <c r="N164" s="848">
        <f t="shared" si="83"/>
        <v>45866</v>
      </c>
      <c r="O164" s="849"/>
      <c r="P164" s="850" t="s">
        <v>46</v>
      </c>
      <c r="Q164" s="838"/>
      <c r="R164" s="862">
        <v>45840</v>
      </c>
      <c r="S164" s="838" t="s">
        <v>58</v>
      </c>
      <c r="T164" s="863" t="s">
        <v>1706</v>
      </c>
      <c r="U164" s="864" t="s">
        <v>1722</v>
      </c>
      <c r="V164" s="848" t="s">
        <v>1260</v>
      </c>
      <c r="W164" s="865">
        <v>3.606</v>
      </c>
      <c r="X164" s="866">
        <f t="shared" si="91"/>
        <v>3606</v>
      </c>
      <c r="Y164" s="838" t="s">
        <v>1726</v>
      </c>
      <c r="Z164" s="838" t="s">
        <v>1742</v>
      </c>
      <c r="AA164" s="838" t="s">
        <v>53</v>
      </c>
      <c r="AB164" s="873" t="s">
        <v>54</v>
      </c>
      <c r="AC164" s="838"/>
      <c r="AD164" s="874">
        <v>1000</v>
      </c>
      <c r="AE164" s="874">
        <f t="shared" si="84"/>
        <v>0</v>
      </c>
      <c r="AF164" s="875"/>
      <c r="AG164" s="838" t="s">
        <v>55</v>
      </c>
      <c r="AH164" s="838"/>
      <c r="AI164" s="838">
        <f t="shared" si="85"/>
        <v>3000</v>
      </c>
      <c r="AJ164" s="838"/>
      <c r="AK164" s="838"/>
      <c r="AM164" s="803">
        <f t="shared" si="89"/>
        <v>3000</v>
      </c>
      <c r="AN164" s="838"/>
      <c r="AO164" s="838"/>
      <c r="AQ164" s="838">
        <f t="shared" si="90"/>
        <v>3000</v>
      </c>
      <c r="AR164" s="838"/>
      <c r="AS164" s="838"/>
      <c r="AT164" s="838"/>
      <c r="BP164" s="803">
        <f t="shared" si="86"/>
        <v>1000</v>
      </c>
      <c r="BQ164" s="803">
        <f t="shared" si="87"/>
        <v>1000</v>
      </c>
      <c r="BR164" s="803">
        <f t="shared" si="88"/>
        <v>1000</v>
      </c>
      <c r="BS164" s="888">
        <f t="shared" si="61"/>
        <v>3000</v>
      </c>
      <c r="BT164" s="889">
        <f t="shared" si="62"/>
        <v>2505959</v>
      </c>
      <c r="BU164" s="892"/>
      <c r="BV164" s="892"/>
      <c r="BW164" s="892"/>
      <c r="BX164" s="892"/>
      <c r="BY164" s="891">
        <f t="shared" si="59"/>
        <v>314041</v>
      </c>
      <c r="CA164" s="805">
        <f t="shared" si="63"/>
        <v>0</v>
      </c>
      <c r="CB164" s="888">
        <f t="shared" si="64"/>
        <v>50458.5714285714</v>
      </c>
      <c r="CC164" s="892"/>
      <c r="CD164" s="892"/>
      <c r="CE164" s="892"/>
      <c r="CF164" s="888">
        <f t="shared" si="60"/>
        <v>9541.4285714286</v>
      </c>
      <c r="CG164" s="892"/>
    </row>
    <row r="165" s="803" customFormat="1" ht="31" hidden="1" customHeight="1" spans="1:85">
      <c r="A165" s="834">
        <v>45838</v>
      </c>
      <c r="B165" s="835" t="s">
        <v>1255</v>
      </c>
      <c r="C165" s="839" t="s">
        <v>84</v>
      </c>
      <c r="D165" s="837">
        <v>4500171916</v>
      </c>
      <c r="E165" s="835" t="s">
        <v>1759</v>
      </c>
      <c r="F165" s="837" t="s">
        <v>1760</v>
      </c>
      <c r="G165" s="838" t="s">
        <v>1742</v>
      </c>
      <c r="H165" s="838" t="s">
        <v>1743</v>
      </c>
      <c r="I165" s="838">
        <v>600</v>
      </c>
      <c r="J165" s="838">
        <v>0</v>
      </c>
      <c r="K165" s="838">
        <v>8</v>
      </c>
      <c r="L165" s="847">
        <f t="shared" si="82"/>
        <v>75</v>
      </c>
      <c r="M165" s="848">
        <v>45870</v>
      </c>
      <c r="N165" s="848">
        <f t="shared" si="83"/>
        <v>45866</v>
      </c>
      <c r="O165" s="849"/>
      <c r="P165" s="850" t="s">
        <v>46</v>
      </c>
      <c r="Q165" s="838"/>
      <c r="R165" s="862">
        <v>45840</v>
      </c>
      <c r="S165" s="838" t="s">
        <v>58</v>
      </c>
      <c r="T165" s="863" t="s">
        <v>1706</v>
      </c>
      <c r="U165" s="864" t="s">
        <v>1718</v>
      </c>
      <c r="V165" s="848" t="s">
        <v>1260</v>
      </c>
      <c r="W165" s="865">
        <v>3.606</v>
      </c>
      <c r="X165" s="866">
        <f t="shared" si="91"/>
        <v>2163.6</v>
      </c>
      <c r="Y165" s="838" t="s">
        <v>1729</v>
      </c>
      <c r="Z165" s="838" t="s">
        <v>1742</v>
      </c>
      <c r="AA165" s="838" t="s">
        <v>53</v>
      </c>
      <c r="AB165" s="873" t="s">
        <v>54</v>
      </c>
      <c r="AC165" s="838"/>
      <c r="AD165" s="874">
        <f>600</f>
        <v>600</v>
      </c>
      <c r="AE165" s="874">
        <f t="shared" si="84"/>
        <v>0</v>
      </c>
      <c r="AF165" s="875"/>
      <c r="AG165" s="838" t="s">
        <v>55</v>
      </c>
      <c r="AH165" s="838"/>
      <c r="AI165" s="838">
        <f t="shared" si="85"/>
        <v>1800</v>
      </c>
      <c r="AJ165" s="838"/>
      <c r="AK165" s="838"/>
      <c r="AM165" s="803">
        <f t="shared" si="89"/>
        <v>1800</v>
      </c>
      <c r="AN165" s="838"/>
      <c r="AO165" s="838"/>
      <c r="AQ165" s="838">
        <f t="shared" si="90"/>
        <v>1800</v>
      </c>
      <c r="AR165" s="838"/>
      <c r="AS165" s="838"/>
      <c r="AT165" s="838"/>
      <c r="BP165" s="803">
        <f t="shared" si="86"/>
        <v>600</v>
      </c>
      <c r="BQ165" s="803">
        <f t="shared" si="87"/>
        <v>600</v>
      </c>
      <c r="BR165" s="803">
        <f t="shared" si="88"/>
        <v>600</v>
      </c>
      <c r="BS165" s="888">
        <f t="shared" si="61"/>
        <v>1800</v>
      </c>
      <c r="BT165" s="889">
        <f t="shared" si="62"/>
        <v>2507759</v>
      </c>
      <c r="BU165" s="892"/>
      <c r="BV165" s="892"/>
      <c r="BW165" s="892"/>
      <c r="BX165" s="892"/>
      <c r="BY165" s="891">
        <f t="shared" si="59"/>
        <v>312241</v>
      </c>
      <c r="CA165" s="805">
        <f t="shared" si="63"/>
        <v>0</v>
      </c>
      <c r="CB165" s="888">
        <f t="shared" si="64"/>
        <v>50458.5714285714</v>
      </c>
      <c r="CC165" s="892"/>
      <c r="CD165" s="892"/>
      <c r="CE165" s="892"/>
      <c r="CF165" s="888">
        <f t="shared" si="60"/>
        <v>9541.4285714286</v>
      </c>
      <c r="CG165" s="892"/>
    </row>
    <row r="166" s="803" customFormat="1" ht="31" hidden="1" customHeight="1" spans="1:85">
      <c r="A166" s="834">
        <v>45838</v>
      </c>
      <c r="B166" s="835" t="s">
        <v>1255</v>
      </c>
      <c r="C166" s="839" t="s">
        <v>84</v>
      </c>
      <c r="D166" s="837">
        <v>4500171914</v>
      </c>
      <c r="E166" s="835" t="s">
        <v>1761</v>
      </c>
      <c r="F166" s="837" t="s">
        <v>1762</v>
      </c>
      <c r="G166" s="838" t="s">
        <v>1742</v>
      </c>
      <c r="H166" s="838" t="s">
        <v>1743</v>
      </c>
      <c r="I166" s="838">
        <v>600</v>
      </c>
      <c r="J166" s="838">
        <v>0</v>
      </c>
      <c r="K166" s="838">
        <v>8</v>
      </c>
      <c r="L166" s="847">
        <f t="shared" si="82"/>
        <v>75</v>
      </c>
      <c r="M166" s="848">
        <v>45870</v>
      </c>
      <c r="N166" s="848">
        <f t="shared" si="83"/>
        <v>45866</v>
      </c>
      <c r="O166" s="849"/>
      <c r="P166" s="850" t="s">
        <v>46</v>
      </c>
      <c r="Q166" s="838"/>
      <c r="R166" s="862">
        <v>45840</v>
      </c>
      <c r="S166" s="838" t="s">
        <v>58</v>
      </c>
      <c r="T166" s="863" t="s">
        <v>1706</v>
      </c>
      <c r="U166" s="864" t="s">
        <v>1718</v>
      </c>
      <c r="V166" s="848" t="s">
        <v>1260</v>
      </c>
      <c r="W166" s="865">
        <v>3.606</v>
      </c>
      <c r="X166" s="866">
        <f t="shared" si="91"/>
        <v>2163.6</v>
      </c>
      <c r="Y166" s="838" t="s">
        <v>1732</v>
      </c>
      <c r="Z166" s="838" t="s">
        <v>1742</v>
      </c>
      <c r="AA166" s="838" t="s">
        <v>53</v>
      </c>
      <c r="AB166" s="873" t="s">
        <v>54</v>
      </c>
      <c r="AC166" s="838"/>
      <c r="AD166" s="874">
        <f>600</f>
        <v>600</v>
      </c>
      <c r="AE166" s="874">
        <f t="shared" si="84"/>
        <v>0</v>
      </c>
      <c r="AF166" s="875"/>
      <c r="AG166" s="838" t="s">
        <v>55</v>
      </c>
      <c r="AH166" s="838"/>
      <c r="AI166" s="838">
        <f t="shared" si="85"/>
        <v>1800</v>
      </c>
      <c r="AJ166" s="838"/>
      <c r="AK166" s="838"/>
      <c r="AM166" s="803">
        <f t="shared" si="89"/>
        <v>1800</v>
      </c>
      <c r="AN166" s="838"/>
      <c r="AO166" s="838"/>
      <c r="AQ166" s="838">
        <f t="shared" si="90"/>
        <v>1800</v>
      </c>
      <c r="AR166" s="838"/>
      <c r="AS166" s="838"/>
      <c r="AT166" s="838"/>
      <c r="BP166" s="803">
        <f t="shared" si="86"/>
        <v>600</v>
      </c>
      <c r="BQ166" s="803">
        <f t="shared" si="87"/>
        <v>600</v>
      </c>
      <c r="BR166" s="803">
        <f t="shared" si="88"/>
        <v>600</v>
      </c>
      <c r="BS166" s="888">
        <f t="shared" si="61"/>
        <v>1800</v>
      </c>
      <c r="BT166" s="889">
        <f t="shared" si="62"/>
        <v>2509559</v>
      </c>
      <c r="BU166" s="892"/>
      <c r="BV166" s="892"/>
      <c r="BW166" s="892"/>
      <c r="BX166" s="892"/>
      <c r="BY166" s="891">
        <f t="shared" si="59"/>
        <v>310441</v>
      </c>
      <c r="CA166" s="805">
        <f t="shared" si="63"/>
        <v>0</v>
      </c>
      <c r="CB166" s="888">
        <f t="shared" si="64"/>
        <v>50458.5714285714</v>
      </c>
      <c r="CC166" s="892"/>
      <c r="CD166" s="892"/>
      <c r="CE166" s="892"/>
      <c r="CF166" s="888">
        <f t="shared" si="60"/>
        <v>9541.4285714286</v>
      </c>
      <c r="CG166" s="892"/>
    </row>
    <row r="167" s="803" customFormat="1" ht="31" hidden="1" customHeight="1" spans="1:85">
      <c r="A167" s="834">
        <v>45838</v>
      </c>
      <c r="B167" s="835" t="s">
        <v>1255</v>
      </c>
      <c r="C167" s="839" t="s">
        <v>84</v>
      </c>
      <c r="D167" s="837">
        <v>4500171918</v>
      </c>
      <c r="E167" s="835" t="s">
        <v>1763</v>
      </c>
      <c r="F167" s="837" t="s">
        <v>1764</v>
      </c>
      <c r="G167" s="838" t="s">
        <v>1742</v>
      </c>
      <c r="H167" s="838" t="s">
        <v>1743</v>
      </c>
      <c r="I167" s="838">
        <v>896</v>
      </c>
      <c r="J167" s="838">
        <v>0</v>
      </c>
      <c r="K167" s="838">
        <v>8</v>
      </c>
      <c r="L167" s="847">
        <f t="shared" si="82"/>
        <v>112</v>
      </c>
      <c r="M167" s="848">
        <v>45870</v>
      </c>
      <c r="N167" s="848">
        <f t="shared" si="83"/>
        <v>45866</v>
      </c>
      <c r="O167" s="849"/>
      <c r="P167" s="850" t="s">
        <v>46</v>
      </c>
      <c r="Q167" s="838"/>
      <c r="R167" s="862">
        <v>45840</v>
      </c>
      <c r="S167" s="838" t="s">
        <v>58</v>
      </c>
      <c r="T167" s="863" t="s">
        <v>1706</v>
      </c>
      <c r="U167" s="864" t="s">
        <v>1707</v>
      </c>
      <c r="V167" s="848" t="s">
        <v>1260</v>
      </c>
      <c r="W167" s="865">
        <v>3.606</v>
      </c>
      <c r="X167" s="866">
        <f t="shared" si="91"/>
        <v>3230.976</v>
      </c>
      <c r="Y167" s="838" t="s">
        <v>1735</v>
      </c>
      <c r="Z167" s="838" t="s">
        <v>1742</v>
      </c>
      <c r="AA167" s="838" t="s">
        <v>53</v>
      </c>
      <c r="AB167" s="873" t="s">
        <v>54</v>
      </c>
      <c r="AC167" s="838"/>
      <c r="AD167" s="874">
        <v>896</v>
      </c>
      <c r="AE167" s="874">
        <f t="shared" si="84"/>
        <v>0</v>
      </c>
      <c r="AF167" s="875"/>
      <c r="AG167" s="838" t="s">
        <v>55</v>
      </c>
      <c r="AH167" s="838"/>
      <c r="AI167" s="838">
        <f t="shared" si="85"/>
        <v>2688</v>
      </c>
      <c r="AJ167" s="838"/>
      <c r="AK167" s="838"/>
      <c r="AM167" s="803">
        <f t="shared" si="89"/>
        <v>2688</v>
      </c>
      <c r="AN167" s="838"/>
      <c r="AO167" s="838"/>
      <c r="AQ167" s="838">
        <f t="shared" si="90"/>
        <v>2688</v>
      </c>
      <c r="AR167" s="838"/>
      <c r="AS167" s="838"/>
      <c r="AT167" s="838"/>
      <c r="BP167" s="803">
        <f t="shared" si="86"/>
        <v>896</v>
      </c>
      <c r="BQ167" s="803">
        <f t="shared" si="87"/>
        <v>896</v>
      </c>
      <c r="BR167" s="803">
        <f t="shared" si="88"/>
        <v>896</v>
      </c>
      <c r="BS167" s="888">
        <f t="shared" si="61"/>
        <v>2688</v>
      </c>
      <c r="BT167" s="889">
        <f t="shared" si="62"/>
        <v>2512247</v>
      </c>
      <c r="BU167" s="892"/>
      <c r="BV167" s="892"/>
      <c r="BW167" s="892"/>
      <c r="BX167" s="892"/>
      <c r="BY167" s="891">
        <f t="shared" si="59"/>
        <v>307753</v>
      </c>
      <c r="CA167" s="805">
        <f t="shared" si="63"/>
        <v>0</v>
      </c>
      <c r="CB167" s="888">
        <f t="shared" si="64"/>
        <v>50458.5714285714</v>
      </c>
      <c r="CC167" s="892"/>
      <c r="CD167" s="892"/>
      <c r="CE167" s="892"/>
      <c r="CF167" s="888">
        <f t="shared" si="60"/>
        <v>9541.4285714286</v>
      </c>
      <c r="CG167" s="892"/>
    </row>
    <row r="168" s="803" customFormat="1" ht="31" hidden="1" customHeight="1" spans="1:85">
      <c r="A168" s="834">
        <v>45838</v>
      </c>
      <c r="B168" s="835" t="s">
        <v>1255</v>
      </c>
      <c r="C168" s="839" t="s">
        <v>84</v>
      </c>
      <c r="D168" s="837">
        <v>4500171912</v>
      </c>
      <c r="E168" s="835" t="s">
        <v>1765</v>
      </c>
      <c r="F168" s="837" t="s">
        <v>1766</v>
      </c>
      <c r="G168" s="838" t="s">
        <v>1742</v>
      </c>
      <c r="H168" s="838" t="s">
        <v>1743</v>
      </c>
      <c r="I168" s="838">
        <v>1000</v>
      </c>
      <c r="J168" s="838">
        <v>0</v>
      </c>
      <c r="K168" s="838">
        <v>8</v>
      </c>
      <c r="L168" s="847">
        <f t="shared" si="82"/>
        <v>125</v>
      </c>
      <c r="M168" s="848">
        <v>45870</v>
      </c>
      <c r="N168" s="848">
        <f t="shared" si="83"/>
        <v>45866</v>
      </c>
      <c r="O168" s="849"/>
      <c r="P168" s="850" t="s">
        <v>46</v>
      </c>
      <c r="Q168" s="838"/>
      <c r="R168" s="862">
        <v>45840</v>
      </c>
      <c r="S168" s="838" t="s">
        <v>58</v>
      </c>
      <c r="T168" s="863" t="s">
        <v>1706</v>
      </c>
      <c r="U168" s="864" t="s">
        <v>1738</v>
      </c>
      <c r="V168" s="848" t="s">
        <v>1260</v>
      </c>
      <c r="W168" s="865">
        <v>3.606</v>
      </c>
      <c r="X168" s="866">
        <f t="shared" si="91"/>
        <v>3606</v>
      </c>
      <c r="Y168" s="838" t="s">
        <v>1739</v>
      </c>
      <c r="Z168" s="838" t="s">
        <v>1742</v>
      </c>
      <c r="AA168" s="838" t="s">
        <v>53</v>
      </c>
      <c r="AB168" s="873" t="s">
        <v>54</v>
      </c>
      <c r="AC168" s="838"/>
      <c r="AD168" s="874">
        <v>1000</v>
      </c>
      <c r="AE168" s="874">
        <f t="shared" si="84"/>
        <v>0</v>
      </c>
      <c r="AF168" s="875"/>
      <c r="AG168" s="838" t="s">
        <v>55</v>
      </c>
      <c r="AH168" s="838"/>
      <c r="AI168" s="838">
        <f t="shared" si="85"/>
        <v>3000</v>
      </c>
      <c r="AJ168" s="838"/>
      <c r="AK168" s="838"/>
      <c r="AM168" s="803">
        <f t="shared" si="89"/>
        <v>3000</v>
      </c>
      <c r="AN168" s="838"/>
      <c r="AO168" s="838"/>
      <c r="AQ168" s="838">
        <f t="shared" si="90"/>
        <v>3000</v>
      </c>
      <c r="AR168" s="838"/>
      <c r="AS168" s="838"/>
      <c r="AT168" s="838"/>
      <c r="BP168" s="803">
        <f t="shared" si="86"/>
        <v>1000</v>
      </c>
      <c r="BQ168" s="803">
        <f t="shared" si="87"/>
        <v>1000</v>
      </c>
      <c r="BR168" s="803">
        <f t="shared" si="88"/>
        <v>1000</v>
      </c>
      <c r="BS168" s="888">
        <f t="shared" si="61"/>
        <v>3000</v>
      </c>
      <c r="BT168" s="889">
        <f t="shared" si="62"/>
        <v>2515247</v>
      </c>
      <c r="BU168" s="892"/>
      <c r="BV168" s="892"/>
      <c r="BW168" s="892"/>
      <c r="BX168" s="892"/>
      <c r="BY168" s="891">
        <f t="shared" si="59"/>
        <v>304753</v>
      </c>
      <c r="CA168" s="805">
        <f t="shared" si="63"/>
        <v>0</v>
      </c>
      <c r="CB168" s="888">
        <f t="shared" si="64"/>
        <v>50458.5714285714</v>
      </c>
      <c r="CC168" s="892"/>
      <c r="CD168" s="892"/>
      <c r="CE168" s="892"/>
      <c r="CF168" s="888">
        <f t="shared" si="60"/>
        <v>9541.4285714286</v>
      </c>
      <c r="CG168" s="892"/>
    </row>
    <row r="169" s="803" customFormat="1" ht="31" hidden="1" customHeight="1" spans="1:85">
      <c r="A169" s="834">
        <v>45838</v>
      </c>
      <c r="B169" s="835" t="s">
        <v>1255</v>
      </c>
      <c r="C169" s="839" t="s">
        <v>84</v>
      </c>
      <c r="D169" s="837">
        <v>4500171915</v>
      </c>
      <c r="E169" s="835" t="s">
        <v>1767</v>
      </c>
      <c r="F169" s="837" t="s">
        <v>1768</v>
      </c>
      <c r="G169" s="838" t="s">
        <v>1742</v>
      </c>
      <c r="H169" s="838" t="s">
        <v>1743</v>
      </c>
      <c r="I169" s="838">
        <v>1000</v>
      </c>
      <c r="J169" s="838">
        <v>0</v>
      </c>
      <c r="K169" s="838">
        <v>8</v>
      </c>
      <c r="L169" s="847">
        <f t="shared" si="82"/>
        <v>125</v>
      </c>
      <c r="M169" s="848">
        <v>45870</v>
      </c>
      <c r="N169" s="848">
        <f t="shared" si="83"/>
        <v>45866</v>
      </c>
      <c r="O169" s="849"/>
      <c r="P169" s="850" t="s">
        <v>46</v>
      </c>
      <c r="Q169" s="838"/>
      <c r="R169" s="862">
        <v>45840</v>
      </c>
      <c r="S169" s="838" t="s">
        <v>58</v>
      </c>
      <c r="T169" s="863" t="s">
        <v>1706</v>
      </c>
      <c r="U169" s="864" t="s">
        <v>1707</v>
      </c>
      <c r="V169" s="848" t="s">
        <v>1260</v>
      </c>
      <c r="W169" s="865">
        <v>3.606</v>
      </c>
      <c r="X169" s="866">
        <f t="shared" si="91"/>
        <v>3606</v>
      </c>
      <c r="Y169" s="838" t="s">
        <v>1769</v>
      </c>
      <c r="Z169" s="838" t="s">
        <v>1742</v>
      </c>
      <c r="AA169" s="838" t="s">
        <v>53</v>
      </c>
      <c r="AB169" s="873" t="s">
        <v>54</v>
      </c>
      <c r="AC169" s="838"/>
      <c r="AD169" s="874">
        <v>1000</v>
      </c>
      <c r="AE169" s="874">
        <f t="shared" si="84"/>
        <v>0</v>
      </c>
      <c r="AF169" s="875"/>
      <c r="AG169" s="838" t="s">
        <v>55</v>
      </c>
      <c r="AH169" s="838"/>
      <c r="AI169" s="838">
        <f t="shared" si="85"/>
        <v>3000</v>
      </c>
      <c r="AJ169" s="838"/>
      <c r="AK169" s="838"/>
      <c r="AM169" s="803">
        <f t="shared" si="89"/>
        <v>3000</v>
      </c>
      <c r="AN169" s="838"/>
      <c r="AO169" s="838"/>
      <c r="AQ169" s="838">
        <f t="shared" si="90"/>
        <v>3000</v>
      </c>
      <c r="AR169" s="838"/>
      <c r="AS169" s="838"/>
      <c r="AT169" s="838"/>
      <c r="BP169" s="803">
        <f t="shared" si="86"/>
        <v>1000</v>
      </c>
      <c r="BQ169" s="803">
        <f t="shared" si="87"/>
        <v>1000</v>
      </c>
      <c r="BR169" s="803">
        <f t="shared" si="88"/>
        <v>1000</v>
      </c>
      <c r="BS169" s="888">
        <f t="shared" si="61"/>
        <v>3000</v>
      </c>
      <c r="BT169" s="889">
        <f t="shared" si="62"/>
        <v>2518247</v>
      </c>
      <c r="BU169" s="892"/>
      <c r="BV169" s="892"/>
      <c r="BW169" s="892"/>
      <c r="BX169" s="892"/>
      <c r="BY169" s="891">
        <f t="shared" si="59"/>
        <v>301753</v>
      </c>
      <c r="CA169" s="805">
        <f t="shared" si="63"/>
        <v>0</v>
      </c>
      <c r="CB169" s="888">
        <f t="shared" si="64"/>
        <v>50458.5714285714</v>
      </c>
      <c r="CC169" s="892"/>
      <c r="CD169" s="892"/>
      <c r="CE169" s="892"/>
      <c r="CF169" s="888">
        <f t="shared" si="60"/>
        <v>9541.4285714286</v>
      </c>
      <c r="CG169" s="892"/>
    </row>
    <row r="170" s="803" customFormat="1" ht="31" hidden="1" customHeight="1" spans="1:85">
      <c r="A170" s="834">
        <v>45834</v>
      </c>
      <c r="B170" s="835" t="s">
        <v>1770</v>
      </c>
      <c r="C170" s="839" t="s">
        <v>716</v>
      </c>
      <c r="D170" s="837">
        <v>4500171335</v>
      </c>
      <c r="E170" s="835" t="s">
        <v>1771</v>
      </c>
      <c r="F170" s="837" t="s">
        <v>1772</v>
      </c>
      <c r="G170" s="838" t="s">
        <v>1773</v>
      </c>
      <c r="H170" s="838" t="s">
        <v>1140</v>
      </c>
      <c r="I170" s="838">
        <v>950</v>
      </c>
      <c r="J170" s="838">
        <v>0</v>
      </c>
      <c r="K170" s="838">
        <v>25</v>
      </c>
      <c r="L170" s="847">
        <v>38</v>
      </c>
      <c r="M170" s="848">
        <v>45870</v>
      </c>
      <c r="N170" s="848">
        <v>45866</v>
      </c>
      <c r="O170" s="849"/>
      <c r="P170" s="850" t="s">
        <v>46</v>
      </c>
      <c r="Q170" s="838"/>
      <c r="R170" s="862">
        <v>45835</v>
      </c>
      <c r="S170" s="838" t="s">
        <v>58</v>
      </c>
      <c r="T170" s="863">
        <v>45854</v>
      </c>
      <c r="U170" s="864" t="s">
        <v>1774</v>
      </c>
      <c r="V170" s="848" t="s">
        <v>1775</v>
      </c>
      <c r="W170" s="865">
        <v>1.9614</v>
      </c>
      <c r="X170" s="866">
        <v>1863.33</v>
      </c>
      <c r="Y170" s="838" t="s">
        <v>1776</v>
      </c>
      <c r="Z170" s="838" t="s">
        <v>1773</v>
      </c>
      <c r="AA170" s="838" t="s">
        <v>53</v>
      </c>
      <c r="AB170" s="873" t="s">
        <v>54</v>
      </c>
      <c r="AC170" s="838"/>
      <c r="AD170" s="874">
        <v>950</v>
      </c>
      <c r="AE170" s="874">
        <f t="shared" ref="AE170:AE184" si="92">AD170-I170</f>
        <v>0</v>
      </c>
      <c r="AF170" s="875"/>
      <c r="AG170" s="838" t="s">
        <v>55</v>
      </c>
      <c r="AH170" s="838"/>
      <c r="AI170" s="838"/>
      <c r="AJ170" s="838">
        <v>950</v>
      </c>
      <c r="AK170" s="838"/>
      <c r="AN170" s="838">
        <v>950</v>
      </c>
      <c r="AO170" s="838"/>
      <c r="AQ170" s="838">
        <v>950</v>
      </c>
      <c r="AR170" s="838"/>
      <c r="AS170" s="838"/>
      <c r="AT170" s="838"/>
      <c r="BD170" s="803">
        <v>38</v>
      </c>
      <c r="BS170" s="888">
        <f t="shared" si="61"/>
        <v>950</v>
      </c>
      <c r="BT170" s="889">
        <f t="shared" si="62"/>
        <v>2519197</v>
      </c>
      <c r="BU170" s="892"/>
      <c r="BV170" s="892"/>
      <c r="BW170" s="892"/>
      <c r="BX170" s="892"/>
      <c r="BY170" s="891">
        <f t="shared" si="59"/>
        <v>300803</v>
      </c>
      <c r="CA170" s="805">
        <f t="shared" si="63"/>
        <v>38</v>
      </c>
      <c r="CB170" s="888">
        <f t="shared" si="64"/>
        <v>50496.5714285714</v>
      </c>
      <c r="CC170" s="892"/>
      <c r="CD170" s="892"/>
      <c r="CE170" s="892"/>
      <c r="CF170" s="888">
        <f t="shared" si="60"/>
        <v>9503.4285714286</v>
      </c>
      <c r="CG170" s="892"/>
    </row>
    <row r="171" s="803" customFormat="1" ht="31" hidden="1" customHeight="1" spans="1:85">
      <c r="A171" s="834">
        <v>45834</v>
      </c>
      <c r="B171" s="835" t="s">
        <v>1770</v>
      </c>
      <c r="C171" s="839" t="s">
        <v>716</v>
      </c>
      <c r="D171" s="837">
        <v>4500171335</v>
      </c>
      <c r="E171" s="835" t="s">
        <v>1771</v>
      </c>
      <c r="F171" s="837" t="s">
        <v>1777</v>
      </c>
      <c r="G171" s="838" t="s">
        <v>1773</v>
      </c>
      <c r="H171" s="838" t="s">
        <v>1140</v>
      </c>
      <c r="I171" s="838">
        <v>250</v>
      </c>
      <c r="J171" s="838">
        <v>0</v>
      </c>
      <c r="K171" s="838">
        <v>25</v>
      </c>
      <c r="L171" s="847">
        <f t="shared" ref="L171:L176" si="93">I171/K171</f>
        <v>10</v>
      </c>
      <c r="M171" s="848">
        <v>45870</v>
      </c>
      <c r="N171" s="848">
        <f t="shared" ref="N171:N176" si="94">M171-4</f>
        <v>45866</v>
      </c>
      <c r="O171" s="849"/>
      <c r="P171" s="850" t="s">
        <v>46</v>
      </c>
      <c r="Q171" s="838"/>
      <c r="R171" s="862">
        <v>45835</v>
      </c>
      <c r="S171" s="838" t="s">
        <v>58</v>
      </c>
      <c r="T171" s="863">
        <v>45854</v>
      </c>
      <c r="U171" s="864" t="s">
        <v>1774</v>
      </c>
      <c r="V171" s="848" t="s">
        <v>1775</v>
      </c>
      <c r="W171" s="865">
        <v>1.9444</v>
      </c>
      <c r="X171" s="866">
        <f t="shared" ref="X171:X176" si="95">I171*W171</f>
        <v>486.1</v>
      </c>
      <c r="Y171" s="838" t="s">
        <v>1776</v>
      </c>
      <c r="Z171" s="838" t="s">
        <v>1773</v>
      </c>
      <c r="AA171" s="838" t="s">
        <v>53</v>
      </c>
      <c r="AB171" s="873" t="s">
        <v>54</v>
      </c>
      <c r="AC171" s="838"/>
      <c r="AD171" s="874">
        <v>250</v>
      </c>
      <c r="AE171" s="874">
        <f t="shared" si="92"/>
        <v>0</v>
      </c>
      <c r="AF171" s="875"/>
      <c r="AG171" s="838" t="s">
        <v>55</v>
      </c>
      <c r="AH171" s="838"/>
      <c r="AI171" s="838"/>
      <c r="AJ171" s="838">
        <f>I171</f>
        <v>250</v>
      </c>
      <c r="AK171" s="838"/>
      <c r="AN171" s="838">
        <f t="shared" ref="AN171:AN176" si="96">I171</f>
        <v>250</v>
      </c>
      <c r="AO171" s="838"/>
      <c r="AQ171" s="838">
        <f t="shared" ref="AQ171:AQ176" si="97">I171</f>
        <v>250</v>
      </c>
      <c r="AR171" s="838"/>
      <c r="AS171" s="838"/>
      <c r="AT171" s="838"/>
      <c r="BD171" s="803">
        <f t="shared" ref="BD171:BD176" si="98">I171/25</f>
        <v>10</v>
      </c>
      <c r="BS171" s="888">
        <f t="shared" si="61"/>
        <v>250</v>
      </c>
      <c r="BT171" s="889">
        <f t="shared" si="62"/>
        <v>2519447</v>
      </c>
      <c r="BU171" s="892"/>
      <c r="BV171" s="892"/>
      <c r="BW171" s="892"/>
      <c r="BX171" s="892"/>
      <c r="BY171" s="891">
        <f t="shared" si="59"/>
        <v>300553</v>
      </c>
      <c r="CA171" s="805">
        <f t="shared" si="63"/>
        <v>10</v>
      </c>
      <c r="CB171" s="888">
        <f t="shared" si="64"/>
        <v>50506.5714285714</v>
      </c>
      <c r="CC171" s="892"/>
      <c r="CD171" s="892"/>
      <c r="CE171" s="892"/>
      <c r="CF171" s="888">
        <f t="shared" si="60"/>
        <v>9493.4285714286</v>
      </c>
      <c r="CG171" s="892"/>
    </row>
    <row r="172" s="803" customFormat="1" ht="31" hidden="1" customHeight="1" spans="1:85">
      <c r="A172" s="834">
        <v>45834</v>
      </c>
      <c r="B172" s="835" t="s">
        <v>1770</v>
      </c>
      <c r="C172" s="839" t="s">
        <v>716</v>
      </c>
      <c r="D172" s="837">
        <v>4500171335</v>
      </c>
      <c r="E172" s="835" t="s">
        <v>1771</v>
      </c>
      <c r="F172" s="837" t="s">
        <v>1778</v>
      </c>
      <c r="G172" s="838" t="s">
        <v>1773</v>
      </c>
      <c r="H172" s="838" t="s">
        <v>1140</v>
      </c>
      <c r="I172" s="838">
        <v>950</v>
      </c>
      <c r="J172" s="838">
        <v>0</v>
      </c>
      <c r="K172" s="838">
        <v>25</v>
      </c>
      <c r="L172" s="847">
        <f t="shared" si="93"/>
        <v>38</v>
      </c>
      <c r="M172" s="848">
        <v>45870</v>
      </c>
      <c r="N172" s="848">
        <f t="shared" si="94"/>
        <v>45866</v>
      </c>
      <c r="O172" s="849"/>
      <c r="P172" s="850" t="s">
        <v>46</v>
      </c>
      <c r="Q172" s="838"/>
      <c r="R172" s="862">
        <v>45835</v>
      </c>
      <c r="S172" s="838" t="s">
        <v>58</v>
      </c>
      <c r="T172" s="863">
        <v>45854</v>
      </c>
      <c r="U172" s="864" t="s">
        <v>1774</v>
      </c>
      <c r="V172" s="848" t="s">
        <v>1775</v>
      </c>
      <c r="W172" s="865">
        <v>1.9614</v>
      </c>
      <c r="X172" s="866">
        <f t="shared" si="95"/>
        <v>1863.33</v>
      </c>
      <c r="Y172" s="838" t="s">
        <v>1776</v>
      </c>
      <c r="Z172" s="838" t="s">
        <v>1773</v>
      </c>
      <c r="AA172" s="838" t="s">
        <v>53</v>
      </c>
      <c r="AB172" s="873" t="s">
        <v>54</v>
      </c>
      <c r="AC172" s="838"/>
      <c r="AD172" s="874">
        <v>950</v>
      </c>
      <c r="AE172" s="874">
        <f t="shared" si="92"/>
        <v>0</v>
      </c>
      <c r="AF172" s="875"/>
      <c r="AG172" s="838" t="s">
        <v>55</v>
      </c>
      <c r="AH172" s="838"/>
      <c r="AI172" s="838"/>
      <c r="AJ172" s="838">
        <f>I172</f>
        <v>950</v>
      </c>
      <c r="AK172" s="838"/>
      <c r="AN172" s="838">
        <f t="shared" si="96"/>
        <v>950</v>
      </c>
      <c r="AO172" s="838"/>
      <c r="AQ172" s="838">
        <f t="shared" si="97"/>
        <v>950</v>
      </c>
      <c r="AR172" s="838"/>
      <c r="AS172" s="838"/>
      <c r="AT172" s="838"/>
      <c r="BD172" s="803">
        <f t="shared" si="98"/>
        <v>38</v>
      </c>
      <c r="BS172" s="888">
        <f t="shared" si="61"/>
        <v>950</v>
      </c>
      <c r="BT172" s="889">
        <f t="shared" si="62"/>
        <v>2520397</v>
      </c>
      <c r="BU172" s="892"/>
      <c r="BV172" s="892"/>
      <c r="BW172" s="892"/>
      <c r="BX172" s="892"/>
      <c r="BY172" s="891">
        <f t="shared" si="59"/>
        <v>299603</v>
      </c>
      <c r="CA172" s="805">
        <f t="shared" si="63"/>
        <v>38</v>
      </c>
      <c r="CB172" s="888">
        <f t="shared" si="64"/>
        <v>50544.5714285714</v>
      </c>
      <c r="CC172" s="892"/>
      <c r="CD172" s="892"/>
      <c r="CE172" s="892"/>
      <c r="CF172" s="888">
        <f t="shared" si="60"/>
        <v>9455.4285714286</v>
      </c>
      <c r="CG172" s="892"/>
    </row>
    <row r="173" s="803" customFormat="1" ht="31" hidden="1" customHeight="1" spans="1:85">
      <c r="A173" s="834">
        <v>45834</v>
      </c>
      <c r="B173" s="835" t="s">
        <v>1770</v>
      </c>
      <c r="C173" s="839" t="s">
        <v>716</v>
      </c>
      <c r="D173" s="837">
        <v>4500171335</v>
      </c>
      <c r="E173" s="835" t="s">
        <v>1771</v>
      </c>
      <c r="F173" s="837" t="s">
        <v>1779</v>
      </c>
      <c r="G173" s="838" t="s">
        <v>1773</v>
      </c>
      <c r="H173" s="838" t="s">
        <v>1140</v>
      </c>
      <c r="I173" s="838">
        <v>250</v>
      </c>
      <c r="J173" s="838">
        <v>0</v>
      </c>
      <c r="K173" s="838">
        <v>25</v>
      </c>
      <c r="L173" s="847">
        <f t="shared" si="93"/>
        <v>10</v>
      </c>
      <c r="M173" s="848">
        <v>45870</v>
      </c>
      <c r="N173" s="848">
        <f t="shared" si="94"/>
        <v>45866</v>
      </c>
      <c r="O173" s="849"/>
      <c r="P173" s="850" t="s">
        <v>46</v>
      </c>
      <c r="Q173" s="838"/>
      <c r="R173" s="862">
        <v>45835</v>
      </c>
      <c r="S173" s="838" t="s">
        <v>58</v>
      </c>
      <c r="T173" s="863">
        <v>45854</v>
      </c>
      <c r="U173" s="864" t="s">
        <v>1774</v>
      </c>
      <c r="V173" s="848" t="s">
        <v>1775</v>
      </c>
      <c r="W173" s="865">
        <v>1.9614</v>
      </c>
      <c r="X173" s="866">
        <f t="shared" si="95"/>
        <v>490.35</v>
      </c>
      <c r="Y173" s="838" t="s">
        <v>1776</v>
      </c>
      <c r="Z173" s="838" t="s">
        <v>1773</v>
      </c>
      <c r="AA173" s="838" t="s">
        <v>53</v>
      </c>
      <c r="AB173" s="873" t="s">
        <v>54</v>
      </c>
      <c r="AC173" s="838"/>
      <c r="AD173" s="874">
        <v>250</v>
      </c>
      <c r="AE173" s="874">
        <f t="shared" si="92"/>
        <v>0</v>
      </c>
      <c r="AF173" s="875"/>
      <c r="AG173" s="838" t="s">
        <v>55</v>
      </c>
      <c r="AH173" s="838"/>
      <c r="AI173" s="838"/>
      <c r="AJ173" s="838">
        <f>I173</f>
        <v>250</v>
      </c>
      <c r="AK173" s="838"/>
      <c r="AN173" s="838">
        <f t="shared" si="96"/>
        <v>250</v>
      </c>
      <c r="AO173" s="838"/>
      <c r="AQ173" s="838">
        <f t="shared" si="97"/>
        <v>250</v>
      </c>
      <c r="AR173" s="838"/>
      <c r="AS173" s="838"/>
      <c r="AT173" s="838"/>
      <c r="BD173" s="803">
        <f t="shared" si="98"/>
        <v>10</v>
      </c>
      <c r="BS173" s="888">
        <f t="shared" si="61"/>
        <v>250</v>
      </c>
      <c r="BT173" s="889">
        <f t="shared" si="62"/>
        <v>2520647</v>
      </c>
      <c r="BU173" s="892"/>
      <c r="BV173" s="892"/>
      <c r="BW173" s="892"/>
      <c r="BX173" s="892"/>
      <c r="BY173" s="891">
        <f t="shared" si="59"/>
        <v>299353</v>
      </c>
      <c r="CA173" s="805">
        <f t="shared" si="63"/>
        <v>10</v>
      </c>
      <c r="CB173" s="888">
        <f t="shared" si="64"/>
        <v>50554.5714285714</v>
      </c>
      <c r="CC173" s="892"/>
      <c r="CD173" s="892"/>
      <c r="CE173" s="892"/>
      <c r="CF173" s="888">
        <f t="shared" si="60"/>
        <v>9445.4285714286</v>
      </c>
      <c r="CG173" s="892"/>
    </row>
    <row r="174" s="803" customFormat="1" ht="31" hidden="1" customHeight="1" spans="1:85">
      <c r="A174" s="834">
        <v>45834</v>
      </c>
      <c r="B174" s="835" t="s">
        <v>1770</v>
      </c>
      <c r="C174" s="839" t="s">
        <v>716</v>
      </c>
      <c r="D174" s="837">
        <v>4500171342</v>
      </c>
      <c r="E174" s="835" t="s">
        <v>1780</v>
      </c>
      <c r="F174" s="837" t="s">
        <v>1781</v>
      </c>
      <c r="G174" s="838" t="s">
        <v>1773</v>
      </c>
      <c r="H174" s="838" t="s">
        <v>1140</v>
      </c>
      <c r="I174" s="838">
        <v>150</v>
      </c>
      <c r="J174" s="838">
        <v>0</v>
      </c>
      <c r="K174" s="838">
        <v>25</v>
      </c>
      <c r="L174" s="847">
        <f t="shared" si="93"/>
        <v>6</v>
      </c>
      <c r="M174" s="848">
        <v>45870</v>
      </c>
      <c r="N174" s="848">
        <f t="shared" si="94"/>
        <v>45866</v>
      </c>
      <c r="O174" s="849"/>
      <c r="P174" s="850" t="s">
        <v>46</v>
      </c>
      <c r="Q174" s="838"/>
      <c r="R174" s="862">
        <v>45835</v>
      </c>
      <c r="S174" s="838" t="s">
        <v>58</v>
      </c>
      <c r="T174" s="863">
        <v>45854</v>
      </c>
      <c r="U174" s="864" t="s">
        <v>1782</v>
      </c>
      <c r="V174" s="848" t="s">
        <v>1775</v>
      </c>
      <c r="W174" s="865">
        <v>1.9614</v>
      </c>
      <c r="X174" s="866">
        <f t="shared" si="95"/>
        <v>294.21</v>
      </c>
      <c r="Y174" s="838" t="s">
        <v>1783</v>
      </c>
      <c r="Z174" s="838" t="s">
        <v>1773</v>
      </c>
      <c r="AA174" s="838" t="s">
        <v>53</v>
      </c>
      <c r="AB174" s="873" t="s">
        <v>54</v>
      </c>
      <c r="AC174" s="838"/>
      <c r="AD174" s="874">
        <v>150</v>
      </c>
      <c r="AE174" s="874">
        <f t="shared" si="92"/>
        <v>0</v>
      </c>
      <c r="AF174" s="875"/>
      <c r="AG174" s="838" t="s">
        <v>55</v>
      </c>
      <c r="AH174" s="838"/>
      <c r="AI174" s="838"/>
      <c r="AJ174" s="838">
        <f>I174</f>
        <v>150</v>
      </c>
      <c r="AK174" s="838"/>
      <c r="AN174" s="838">
        <f t="shared" si="96"/>
        <v>150</v>
      </c>
      <c r="AO174" s="838"/>
      <c r="AQ174" s="838">
        <f t="shared" si="97"/>
        <v>150</v>
      </c>
      <c r="AR174" s="838"/>
      <c r="AS174" s="838"/>
      <c r="AT174" s="838"/>
      <c r="BD174" s="803">
        <f t="shared" si="98"/>
        <v>6</v>
      </c>
      <c r="BS174" s="888">
        <f t="shared" si="61"/>
        <v>150</v>
      </c>
      <c r="BT174" s="889">
        <f t="shared" si="62"/>
        <v>2520797</v>
      </c>
      <c r="BU174" s="892"/>
      <c r="BV174" s="892"/>
      <c r="BW174" s="892"/>
      <c r="BX174" s="892"/>
      <c r="BY174" s="891">
        <f t="shared" si="59"/>
        <v>299203</v>
      </c>
      <c r="CA174" s="805">
        <f t="shared" si="63"/>
        <v>6</v>
      </c>
      <c r="CB174" s="888">
        <f t="shared" si="64"/>
        <v>50560.5714285714</v>
      </c>
      <c r="CC174" s="892"/>
      <c r="CD174" s="892"/>
      <c r="CE174" s="892"/>
      <c r="CF174" s="888">
        <f t="shared" si="60"/>
        <v>9439.4285714286</v>
      </c>
      <c r="CG174" s="892"/>
    </row>
    <row r="175" s="803" customFormat="1" ht="31" hidden="1" customHeight="1" spans="1:85">
      <c r="A175" s="834">
        <v>45834</v>
      </c>
      <c r="B175" s="835" t="s">
        <v>1770</v>
      </c>
      <c r="C175" s="839" t="s">
        <v>716</v>
      </c>
      <c r="D175" s="837">
        <v>4500171342</v>
      </c>
      <c r="E175" s="835" t="s">
        <v>1780</v>
      </c>
      <c r="F175" s="837" t="s">
        <v>1784</v>
      </c>
      <c r="G175" s="838" t="s">
        <v>1773</v>
      </c>
      <c r="H175" s="838" t="s">
        <v>1140</v>
      </c>
      <c r="I175" s="838">
        <v>100</v>
      </c>
      <c r="J175" s="838">
        <v>0</v>
      </c>
      <c r="K175" s="838">
        <v>25</v>
      </c>
      <c r="L175" s="847">
        <f t="shared" si="93"/>
        <v>4</v>
      </c>
      <c r="M175" s="848">
        <v>45870</v>
      </c>
      <c r="N175" s="848">
        <f t="shared" si="94"/>
        <v>45866</v>
      </c>
      <c r="O175" s="849"/>
      <c r="P175" s="850" t="s">
        <v>46</v>
      </c>
      <c r="Q175" s="838"/>
      <c r="R175" s="862">
        <v>45835</v>
      </c>
      <c r="S175" s="838" t="s">
        <v>58</v>
      </c>
      <c r="T175" s="863">
        <v>45854</v>
      </c>
      <c r="U175" s="864" t="s">
        <v>1782</v>
      </c>
      <c r="V175" s="848" t="s">
        <v>1775</v>
      </c>
      <c r="W175" s="865">
        <v>1.9614</v>
      </c>
      <c r="X175" s="866">
        <f t="shared" si="95"/>
        <v>196.14</v>
      </c>
      <c r="Y175" s="838" t="s">
        <v>1783</v>
      </c>
      <c r="Z175" s="838" t="s">
        <v>1773</v>
      </c>
      <c r="AA175" s="838" t="s">
        <v>53</v>
      </c>
      <c r="AB175" s="873" t="s">
        <v>54</v>
      </c>
      <c r="AC175" s="838"/>
      <c r="AD175" s="874">
        <v>100</v>
      </c>
      <c r="AE175" s="874">
        <f t="shared" si="92"/>
        <v>0</v>
      </c>
      <c r="AF175" s="875"/>
      <c r="AG175" s="838" t="s">
        <v>55</v>
      </c>
      <c r="AH175" s="838"/>
      <c r="AI175" s="838"/>
      <c r="AJ175" s="838">
        <f>I175</f>
        <v>100</v>
      </c>
      <c r="AK175" s="838"/>
      <c r="AN175" s="838">
        <f t="shared" si="96"/>
        <v>100</v>
      </c>
      <c r="AO175" s="838"/>
      <c r="AQ175" s="838">
        <f t="shared" si="97"/>
        <v>100</v>
      </c>
      <c r="AR175" s="838"/>
      <c r="AS175" s="838"/>
      <c r="AT175" s="838"/>
      <c r="BD175" s="803">
        <f t="shared" si="98"/>
        <v>4</v>
      </c>
      <c r="BS175" s="888">
        <f t="shared" si="61"/>
        <v>100</v>
      </c>
      <c r="BT175" s="889">
        <f t="shared" si="62"/>
        <v>2520897</v>
      </c>
      <c r="BU175" s="892"/>
      <c r="BV175" s="892"/>
      <c r="BW175" s="892"/>
      <c r="BX175" s="892"/>
      <c r="BY175" s="891">
        <f t="shared" si="59"/>
        <v>299103</v>
      </c>
      <c r="CA175" s="805">
        <f t="shared" si="63"/>
        <v>4</v>
      </c>
      <c r="CB175" s="888">
        <f t="shared" si="64"/>
        <v>50564.5714285714</v>
      </c>
      <c r="CC175" s="892"/>
      <c r="CD175" s="892"/>
      <c r="CE175" s="892"/>
      <c r="CF175" s="888">
        <f t="shared" si="60"/>
        <v>9435.4285714286</v>
      </c>
      <c r="CG175" s="892"/>
    </row>
    <row r="176" s="803" customFormat="1" ht="31" hidden="1" customHeight="1" spans="1:85">
      <c r="A176" s="834">
        <v>45839</v>
      </c>
      <c r="B176" s="835" t="s">
        <v>1145</v>
      </c>
      <c r="C176" s="839" t="s">
        <v>84</v>
      </c>
      <c r="D176" s="837">
        <v>4500172246</v>
      </c>
      <c r="E176" s="835">
        <v>60235929</v>
      </c>
      <c r="F176" s="837" t="s">
        <v>1785</v>
      </c>
      <c r="G176" s="838" t="s">
        <v>1147</v>
      </c>
      <c r="H176" s="838" t="s">
        <v>1148</v>
      </c>
      <c r="I176" s="838">
        <v>2004</v>
      </c>
      <c r="J176" s="838">
        <v>0</v>
      </c>
      <c r="K176" s="838">
        <v>12</v>
      </c>
      <c r="L176" s="847">
        <f t="shared" si="93"/>
        <v>167</v>
      </c>
      <c r="M176" s="848">
        <v>45870</v>
      </c>
      <c r="N176" s="848">
        <f t="shared" si="94"/>
        <v>45866</v>
      </c>
      <c r="O176" s="849"/>
      <c r="P176" s="850" t="s">
        <v>46</v>
      </c>
      <c r="Q176" s="838"/>
      <c r="R176" s="862">
        <v>45846</v>
      </c>
      <c r="S176" s="838" t="s">
        <v>58</v>
      </c>
      <c r="T176" s="863" t="s">
        <v>1786</v>
      </c>
      <c r="U176" s="864" t="s">
        <v>1787</v>
      </c>
      <c r="V176" s="848" t="s">
        <v>1788</v>
      </c>
      <c r="W176" s="865">
        <v>2.3946</v>
      </c>
      <c r="X176" s="866">
        <f>W176*I176</f>
        <v>4798.7784</v>
      </c>
      <c r="Y176" s="838" t="s">
        <v>1789</v>
      </c>
      <c r="Z176" s="838" t="s">
        <v>1147</v>
      </c>
      <c r="AA176" s="838" t="s">
        <v>53</v>
      </c>
      <c r="AB176" s="873" t="s">
        <v>54</v>
      </c>
      <c r="AC176" s="838"/>
      <c r="AD176" s="874">
        <v>2004</v>
      </c>
      <c r="AE176" s="874">
        <f t="shared" si="92"/>
        <v>0</v>
      </c>
      <c r="AF176" s="875"/>
      <c r="AG176" s="838" t="s">
        <v>55</v>
      </c>
      <c r="AH176" s="838"/>
      <c r="AI176" s="838">
        <f>I176*2</f>
        <v>4008</v>
      </c>
      <c r="AJ176" s="838"/>
      <c r="AK176" s="838">
        <f>I176*2</f>
        <v>4008</v>
      </c>
      <c r="AN176" s="838"/>
      <c r="AO176" s="838"/>
      <c r="AQ176" s="838">
        <f>I176*2</f>
        <v>4008</v>
      </c>
      <c r="AR176" s="838"/>
      <c r="AS176" s="838"/>
      <c r="AT176" s="838"/>
      <c r="BL176" s="803">
        <f>I176</f>
        <v>2004</v>
      </c>
      <c r="BM176" s="803">
        <f>I176</f>
        <v>2004</v>
      </c>
      <c r="BO176" s="803">
        <f>I176</f>
        <v>2004</v>
      </c>
      <c r="BS176" s="888">
        <f t="shared" si="61"/>
        <v>4008</v>
      </c>
      <c r="BT176" s="889">
        <f t="shared" si="62"/>
        <v>2524905</v>
      </c>
      <c r="BU176" s="892"/>
      <c r="BV176" s="892"/>
      <c r="BW176" s="892"/>
      <c r="BX176" s="892"/>
      <c r="BY176" s="891">
        <f t="shared" si="59"/>
        <v>295095</v>
      </c>
      <c r="CA176" s="805">
        <f t="shared" si="63"/>
        <v>0</v>
      </c>
      <c r="CB176" s="888">
        <f t="shared" si="64"/>
        <v>50564.5714285714</v>
      </c>
      <c r="CC176" s="892"/>
      <c r="CD176" s="892"/>
      <c r="CE176" s="892"/>
      <c r="CF176" s="888">
        <f t="shared" si="60"/>
        <v>9435.4285714286</v>
      </c>
      <c r="CG176" s="892"/>
    </row>
    <row r="177" s="803" customFormat="1" ht="31" customHeight="1" spans="1:85">
      <c r="A177" s="834">
        <v>45834</v>
      </c>
      <c r="B177" s="835" t="s">
        <v>933</v>
      </c>
      <c r="C177" s="839" t="s">
        <v>934</v>
      </c>
      <c r="D177" s="837">
        <v>4500171286</v>
      </c>
      <c r="E177" s="835"/>
      <c r="F177" s="837" t="s">
        <v>1790</v>
      </c>
      <c r="G177" s="838" t="s">
        <v>1155</v>
      </c>
      <c r="H177" s="838" t="s">
        <v>1140</v>
      </c>
      <c r="I177" s="838">
        <v>500</v>
      </c>
      <c r="J177" s="838">
        <v>0</v>
      </c>
      <c r="K177" s="838">
        <v>50</v>
      </c>
      <c r="L177" s="847">
        <v>10</v>
      </c>
      <c r="M177" s="848">
        <v>45870</v>
      </c>
      <c r="N177" s="848">
        <v>45866</v>
      </c>
      <c r="O177" s="849"/>
      <c r="P177" s="850" t="s">
        <v>46</v>
      </c>
      <c r="Q177" s="838" t="s">
        <v>1791</v>
      </c>
      <c r="R177" s="862">
        <v>45845</v>
      </c>
      <c r="S177" s="838" t="s">
        <v>58</v>
      </c>
      <c r="T177" s="863">
        <v>45856</v>
      </c>
      <c r="U177" s="864" t="s">
        <v>1792</v>
      </c>
      <c r="V177" s="848" t="s">
        <v>938</v>
      </c>
      <c r="W177" s="865">
        <v>1.9605</v>
      </c>
      <c r="X177" s="866">
        <v>980.25</v>
      </c>
      <c r="Y177" s="838" t="s">
        <v>1793</v>
      </c>
      <c r="Z177" s="838" t="s">
        <v>1160</v>
      </c>
      <c r="AA177" s="838" t="s">
        <v>53</v>
      </c>
      <c r="AB177" s="873" t="s">
        <v>54</v>
      </c>
      <c r="AC177" s="838"/>
      <c r="AD177" s="874">
        <v>500</v>
      </c>
      <c r="AE177" s="874">
        <f t="shared" si="92"/>
        <v>0</v>
      </c>
      <c r="AF177" s="875"/>
      <c r="AG177" s="838"/>
      <c r="AH177" s="838"/>
      <c r="AI177" s="838"/>
      <c r="AJ177" s="838">
        <v>500</v>
      </c>
      <c r="AK177" s="838"/>
      <c r="AN177" s="838">
        <v>500</v>
      </c>
      <c r="AO177" s="838"/>
      <c r="AQ177" s="838">
        <v>500</v>
      </c>
      <c r="AR177" s="838"/>
      <c r="AS177" s="838"/>
      <c r="AT177" s="838"/>
      <c r="BD177" s="803">
        <v>20</v>
      </c>
      <c r="BS177" s="888">
        <f t="shared" si="61"/>
        <v>500</v>
      </c>
      <c r="BT177" s="889">
        <f t="shared" si="62"/>
        <v>2525405</v>
      </c>
      <c r="BU177" s="892"/>
      <c r="BV177" s="892"/>
      <c r="BW177" s="892"/>
      <c r="BX177" s="892"/>
      <c r="BY177" s="891">
        <f t="shared" si="59"/>
        <v>294595</v>
      </c>
      <c r="CA177" s="805">
        <f t="shared" si="63"/>
        <v>20</v>
      </c>
      <c r="CB177" s="888">
        <f t="shared" si="64"/>
        <v>50584.5714285714</v>
      </c>
      <c r="CC177" s="892"/>
      <c r="CD177" s="892"/>
      <c r="CE177" s="892"/>
      <c r="CF177" s="888">
        <f t="shared" si="60"/>
        <v>9415.4285714286</v>
      </c>
      <c r="CG177" s="892"/>
    </row>
    <row r="178" s="803" customFormat="1" ht="31" customHeight="1" spans="1:85">
      <c r="A178" s="834">
        <v>45838</v>
      </c>
      <c r="B178" s="835" t="s">
        <v>933</v>
      </c>
      <c r="C178" s="839" t="s">
        <v>934</v>
      </c>
      <c r="D178" s="837">
        <v>4500172103</v>
      </c>
      <c r="E178" s="835"/>
      <c r="F178" s="837" t="s">
        <v>1794</v>
      </c>
      <c r="G178" s="838" t="s">
        <v>1155</v>
      </c>
      <c r="H178" s="838" t="s">
        <v>1140</v>
      </c>
      <c r="I178" s="838">
        <v>2000</v>
      </c>
      <c r="J178" s="838">
        <v>0</v>
      </c>
      <c r="K178" s="838">
        <v>50</v>
      </c>
      <c r="L178" s="847">
        <f>I178/K178</f>
        <v>40</v>
      </c>
      <c r="M178" s="848">
        <v>45874</v>
      </c>
      <c r="N178" s="848">
        <v>45870</v>
      </c>
      <c r="O178" s="849"/>
      <c r="P178" s="850" t="s">
        <v>46</v>
      </c>
      <c r="Q178" s="838"/>
      <c r="R178" s="862">
        <v>45845</v>
      </c>
      <c r="S178" s="838" t="s">
        <v>58</v>
      </c>
      <c r="T178" s="863">
        <v>45856</v>
      </c>
      <c r="U178" s="864" t="s">
        <v>1795</v>
      </c>
      <c r="V178" s="848" t="s">
        <v>938</v>
      </c>
      <c r="W178" s="865">
        <v>1.9605</v>
      </c>
      <c r="X178" s="866">
        <f>I178*W178</f>
        <v>3921</v>
      </c>
      <c r="Y178" s="901" t="s">
        <v>1796</v>
      </c>
      <c r="Z178" s="838" t="s">
        <v>1160</v>
      </c>
      <c r="AA178" s="838" t="s">
        <v>53</v>
      </c>
      <c r="AB178" s="873" t="s">
        <v>54</v>
      </c>
      <c r="AC178" s="838"/>
      <c r="AD178" s="874">
        <v>2000</v>
      </c>
      <c r="AE178" s="874">
        <f t="shared" si="92"/>
        <v>0</v>
      </c>
      <c r="AF178" s="875"/>
      <c r="AG178" s="838" t="s">
        <v>55</v>
      </c>
      <c r="AH178" s="838"/>
      <c r="AI178" s="838">
        <f>I178</f>
        <v>2000</v>
      </c>
      <c r="AJ178" s="838"/>
      <c r="AK178" s="838"/>
      <c r="AN178" s="838">
        <f>I178</f>
        <v>2000</v>
      </c>
      <c r="AO178" s="838"/>
      <c r="AQ178" s="838">
        <f>I178</f>
        <v>2000</v>
      </c>
      <c r="AR178" s="838"/>
      <c r="AS178" s="838"/>
      <c r="AT178" s="838"/>
      <c r="BD178" s="803">
        <f>I178/25</f>
        <v>80</v>
      </c>
      <c r="BS178" s="888">
        <f t="shared" si="61"/>
        <v>2000</v>
      </c>
      <c r="BT178" s="889">
        <f t="shared" si="62"/>
        <v>2527405</v>
      </c>
      <c r="BU178" s="892"/>
      <c r="BV178" s="892"/>
      <c r="BW178" s="892"/>
      <c r="BX178" s="892"/>
      <c r="BY178" s="891">
        <f t="shared" si="59"/>
        <v>292595</v>
      </c>
      <c r="CA178" s="805">
        <f t="shared" si="63"/>
        <v>80</v>
      </c>
      <c r="CB178" s="888">
        <f t="shared" si="64"/>
        <v>50664.5714285714</v>
      </c>
      <c r="CC178" s="892"/>
      <c r="CD178" s="892"/>
      <c r="CE178" s="892"/>
      <c r="CF178" s="888">
        <f t="shared" si="60"/>
        <v>9335.4285714286</v>
      </c>
      <c r="CG178" s="892"/>
    </row>
    <row r="179" s="803" customFormat="1" ht="31" hidden="1" customHeight="1" spans="1:85">
      <c r="A179" s="834">
        <v>45838</v>
      </c>
      <c r="B179" s="835" t="s">
        <v>1797</v>
      </c>
      <c r="C179" s="839" t="s">
        <v>84</v>
      </c>
      <c r="D179" s="837">
        <v>4500171933</v>
      </c>
      <c r="E179" s="835">
        <v>1617037</v>
      </c>
      <c r="F179" s="837" t="s">
        <v>1798</v>
      </c>
      <c r="G179" s="838" t="s">
        <v>1742</v>
      </c>
      <c r="H179" s="838" t="s">
        <v>1743</v>
      </c>
      <c r="I179" s="838">
        <v>304</v>
      </c>
      <c r="J179" s="838">
        <v>0</v>
      </c>
      <c r="K179" s="838">
        <v>8</v>
      </c>
      <c r="L179" s="847">
        <f>I179/K179</f>
        <v>38</v>
      </c>
      <c r="M179" s="848">
        <v>45875</v>
      </c>
      <c r="N179" s="848">
        <v>45871</v>
      </c>
      <c r="O179" s="849"/>
      <c r="P179" s="850" t="s">
        <v>46</v>
      </c>
      <c r="Q179" s="838"/>
      <c r="R179" s="862">
        <v>45839</v>
      </c>
      <c r="S179" s="838" t="s">
        <v>58</v>
      </c>
      <c r="T179" s="863" t="s">
        <v>1799</v>
      </c>
      <c r="U179" s="864" t="s">
        <v>1800</v>
      </c>
      <c r="V179" s="848" t="s">
        <v>1801</v>
      </c>
      <c r="W179" s="865">
        <v>3.5776</v>
      </c>
      <c r="X179" s="866">
        <f>W179*I179</f>
        <v>1087.5904</v>
      </c>
      <c r="Y179" s="838" t="s">
        <v>1802</v>
      </c>
      <c r="Z179" s="838" t="s">
        <v>1803</v>
      </c>
      <c r="AA179" s="838" t="s">
        <v>53</v>
      </c>
      <c r="AB179" s="873" t="s">
        <v>54</v>
      </c>
      <c r="AC179" s="838"/>
      <c r="AD179" s="874">
        <v>304</v>
      </c>
      <c r="AE179" s="874">
        <f t="shared" si="92"/>
        <v>0</v>
      </c>
      <c r="AF179" s="875"/>
      <c r="AG179" s="838"/>
      <c r="AH179" s="838"/>
      <c r="AI179" s="838">
        <f>I179*3</f>
        <v>912</v>
      </c>
      <c r="AJ179" s="838"/>
      <c r="AK179" s="838">
        <f>I179*3</f>
        <v>912</v>
      </c>
      <c r="AN179" s="838"/>
      <c r="AO179" s="838"/>
      <c r="AQ179" s="838">
        <f>I179*3</f>
        <v>912</v>
      </c>
      <c r="AR179" s="838"/>
      <c r="AS179" s="838"/>
      <c r="AT179" s="838"/>
      <c r="BP179" s="803">
        <f>I179</f>
        <v>304</v>
      </c>
      <c r="BQ179" s="803">
        <f>I179</f>
        <v>304</v>
      </c>
      <c r="BR179" s="803">
        <f>I179</f>
        <v>304</v>
      </c>
      <c r="BS179" s="888">
        <f t="shared" si="61"/>
        <v>912</v>
      </c>
      <c r="BT179" s="889">
        <f t="shared" si="62"/>
        <v>2528317</v>
      </c>
      <c r="BU179" s="892"/>
      <c r="BV179" s="892"/>
      <c r="BW179" s="892"/>
      <c r="BX179" s="892"/>
      <c r="BY179" s="891">
        <f t="shared" si="59"/>
        <v>291683</v>
      </c>
      <c r="CA179" s="805">
        <f t="shared" si="63"/>
        <v>0</v>
      </c>
      <c r="CB179" s="888">
        <f t="shared" si="64"/>
        <v>50664.5714285714</v>
      </c>
      <c r="CC179" s="892"/>
      <c r="CD179" s="892"/>
      <c r="CE179" s="892"/>
      <c r="CF179" s="888">
        <f t="shared" si="60"/>
        <v>9335.4285714286</v>
      </c>
      <c r="CG179" s="892"/>
    </row>
    <row r="180" s="803" customFormat="1" ht="31" customHeight="1" spans="1:85">
      <c r="A180" s="834">
        <v>45828</v>
      </c>
      <c r="B180" s="835" t="s">
        <v>955</v>
      </c>
      <c r="C180" s="839" t="s">
        <v>41</v>
      </c>
      <c r="D180" s="837">
        <v>4500170750</v>
      </c>
      <c r="E180" s="835"/>
      <c r="F180" s="837" t="s">
        <v>1804</v>
      </c>
      <c r="G180" s="838" t="s">
        <v>1155</v>
      </c>
      <c r="H180" s="838" t="s">
        <v>1140</v>
      </c>
      <c r="I180" s="838">
        <v>800</v>
      </c>
      <c r="J180" s="838">
        <v>0</v>
      </c>
      <c r="K180" s="838">
        <v>50</v>
      </c>
      <c r="L180" s="847">
        <f>I180/K180</f>
        <v>16</v>
      </c>
      <c r="M180" s="848">
        <v>45877</v>
      </c>
      <c r="N180" s="848">
        <v>45873</v>
      </c>
      <c r="O180" s="849"/>
      <c r="P180" s="850" t="s">
        <v>46</v>
      </c>
      <c r="Q180" s="838" t="s">
        <v>1805</v>
      </c>
      <c r="R180" s="862">
        <v>45841</v>
      </c>
      <c r="S180" s="838" t="s">
        <v>58</v>
      </c>
      <c r="T180" s="863">
        <v>45849</v>
      </c>
      <c r="U180" s="864" t="s">
        <v>1806</v>
      </c>
      <c r="V180" s="848" t="s">
        <v>79</v>
      </c>
      <c r="W180" s="865">
        <v>1.9605</v>
      </c>
      <c r="X180" s="866">
        <f>I180*W180</f>
        <v>1568.4</v>
      </c>
      <c r="Y180" s="902" t="s">
        <v>1807</v>
      </c>
      <c r="Z180" s="838" t="s">
        <v>1160</v>
      </c>
      <c r="AA180" s="838" t="s">
        <v>53</v>
      </c>
      <c r="AB180" s="873" t="s">
        <v>54</v>
      </c>
      <c r="AC180" s="838"/>
      <c r="AD180" s="874">
        <v>800</v>
      </c>
      <c r="AE180" s="874">
        <f t="shared" si="92"/>
        <v>0</v>
      </c>
      <c r="AF180" s="875"/>
      <c r="AG180" s="838" t="s">
        <v>55</v>
      </c>
      <c r="AH180" s="838"/>
      <c r="AI180" s="838">
        <f>I180</f>
        <v>800</v>
      </c>
      <c r="AJ180" s="838"/>
      <c r="AK180" s="838"/>
      <c r="AN180" s="838">
        <f>I180</f>
        <v>800</v>
      </c>
      <c r="AO180" s="838"/>
      <c r="AQ180" s="838">
        <f>I180</f>
        <v>800</v>
      </c>
      <c r="AR180" s="838"/>
      <c r="AS180" s="838"/>
      <c r="AT180" s="838"/>
      <c r="BD180" s="803">
        <f>I180/25</f>
        <v>32</v>
      </c>
      <c r="BS180" s="888">
        <f t="shared" si="61"/>
        <v>800</v>
      </c>
      <c r="BT180" s="889">
        <f t="shared" si="62"/>
        <v>2529117</v>
      </c>
      <c r="BU180" s="892"/>
      <c r="BV180" s="892"/>
      <c r="BW180" s="892"/>
      <c r="BX180" s="892"/>
      <c r="BY180" s="891">
        <f t="shared" si="59"/>
        <v>290883</v>
      </c>
      <c r="CA180" s="805">
        <f t="shared" si="63"/>
        <v>32</v>
      </c>
      <c r="CB180" s="888">
        <f t="shared" si="64"/>
        <v>50696.5714285714</v>
      </c>
      <c r="CC180" s="892"/>
      <c r="CD180" s="892"/>
      <c r="CE180" s="892"/>
      <c r="CF180" s="888">
        <f t="shared" si="60"/>
        <v>9303.4285714286</v>
      </c>
      <c r="CG180" s="892"/>
    </row>
    <row r="181" s="803" customFormat="1" ht="31" hidden="1" customHeight="1" spans="1:85">
      <c r="A181" s="834">
        <v>45838</v>
      </c>
      <c r="B181" s="835" t="s">
        <v>1808</v>
      </c>
      <c r="C181" s="839" t="s">
        <v>41</v>
      </c>
      <c r="D181" s="837">
        <v>4500169860</v>
      </c>
      <c r="E181" s="835">
        <v>93902494</v>
      </c>
      <c r="F181" s="837" t="s">
        <v>1809</v>
      </c>
      <c r="G181" s="838" t="s">
        <v>1147</v>
      </c>
      <c r="H181" s="838" t="s">
        <v>1148</v>
      </c>
      <c r="I181" s="838">
        <v>5256</v>
      </c>
      <c r="J181" s="838">
        <v>0</v>
      </c>
      <c r="K181" s="838">
        <v>12</v>
      </c>
      <c r="L181" s="847">
        <f t="shared" ref="L181:L195" si="99">I181/K181</f>
        <v>438</v>
      </c>
      <c r="M181" s="848">
        <v>45875</v>
      </c>
      <c r="N181" s="848">
        <v>45871</v>
      </c>
      <c r="O181" s="849"/>
      <c r="P181" s="850" t="s">
        <v>46</v>
      </c>
      <c r="Q181" s="838"/>
      <c r="R181" s="862">
        <v>45838</v>
      </c>
      <c r="S181" s="838" t="s">
        <v>58</v>
      </c>
      <c r="T181" s="863">
        <v>45852</v>
      </c>
      <c r="U181" s="864" t="s">
        <v>1810</v>
      </c>
      <c r="V181" s="848" t="s">
        <v>79</v>
      </c>
      <c r="W181" s="865">
        <v>3.9945</v>
      </c>
      <c r="X181" s="866">
        <f t="shared" ref="X181:X195" si="100">I181*W181</f>
        <v>20995.092</v>
      </c>
      <c r="Y181" s="838" t="s">
        <v>1811</v>
      </c>
      <c r="Z181" s="838" t="s">
        <v>1549</v>
      </c>
      <c r="AA181" s="838" t="s">
        <v>53</v>
      </c>
      <c r="AB181" s="873" t="s">
        <v>54</v>
      </c>
      <c r="AC181" s="838"/>
      <c r="AD181" s="874">
        <v>5256</v>
      </c>
      <c r="AE181" s="874">
        <f t="shared" si="92"/>
        <v>0</v>
      </c>
      <c r="AF181" s="875"/>
      <c r="AG181" s="838" t="s">
        <v>55</v>
      </c>
      <c r="AH181" s="838"/>
      <c r="AI181" s="838">
        <f t="shared" ref="AI181:AI191" si="101">I181*2</f>
        <v>10512</v>
      </c>
      <c r="AJ181" s="838"/>
      <c r="AK181" s="838"/>
      <c r="AN181" s="838">
        <f>I181*2</f>
        <v>10512</v>
      </c>
      <c r="AO181" s="838"/>
      <c r="AQ181" s="838">
        <f t="shared" ref="AQ181:AQ191" si="102">I181*2</f>
        <v>10512</v>
      </c>
      <c r="AR181" s="838"/>
      <c r="AS181" s="838"/>
      <c r="AT181" s="838"/>
      <c r="BL181" s="803">
        <f t="shared" ref="BL181:BL191" si="103">I181</f>
        <v>5256</v>
      </c>
      <c r="BM181" s="803">
        <f t="shared" ref="BM181:BM191" si="104">I181</f>
        <v>5256</v>
      </c>
      <c r="BO181" s="803">
        <f t="shared" ref="BO181:BO191" si="105">I181</f>
        <v>5256</v>
      </c>
      <c r="BS181" s="888">
        <f t="shared" si="61"/>
        <v>10512</v>
      </c>
      <c r="BT181" s="889">
        <f t="shared" si="62"/>
        <v>2539629</v>
      </c>
      <c r="BU181" s="892"/>
      <c r="BV181" s="892"/>
      <c r="BW181" s="892"/>
      <c r="BX181" s="892"/>
      <c r="BY181" s="891">
        <f t="shared" si="59"/>
        <v>280371</v>
      </c>
      <c r="CA181" s="805">
        <f t="shared" si="63"/>
        <v>0</v>
      </c>
      <c r="CB181" s="888">
        <f t="shared" si="64"/>
        <v>50696.5714285714</v>
      </c>
      <c r="CC181" s="892"/>
      <c r="CD181" s="892"/>
      <c r="CE181" s="892"/>
      <c r="CF181" s="888">
        <f t="shared" si="60"/>
        <v>9303.4285714286</v>
      </c>
      <c r="CG181" s="892"/>
    </row>
    <row r="182" s="803" customFormat="1" ht="31" hidden="1" customHeight="1" spans="1:85">
      <c r="A182" s="834">
        <v>45838</v>
      </c>
      <c r="B182" s="835" t="s">
        <v>1808</v>
      </c>
      <c r="C182" s="839" t="s">
        <v>41</v>
      </c>
      <c r="D182" s="837">
        <v>4500169860</v>
      </c>
      <c r="E182" s="835">
        <v>93902495</v>
      </c>
      <c r="F182" s="837" t="s">
        <v>1812</v>
      </c>
      <c r="G182" s="838" t="s">
        <v>1147</v>
      </c>
      <c r="H182" s="838" t="s">
        <v>1148</v>
      </c>
      <c r="I182" s="838">
        <v>708</v>
      </c>
      <c r="J182" s="838">
        <v>0</v>
      </c>
      <c r="K182" s="838">
        <v>12</v>
      </c>
      <c r="L182" s="847">
        <f t="shared" si="99"/>
        <v>59</v>
      </c>
      <c r="M182" s="848">
        <v>45875</v>
      </c>
      <c r="N182" s="848">
        <v>45871</v>
      </c>
      <c r="O182" s="849"/>
      <c r="P182" s="850" t="s">
        <v>46</v>
      </c>
      <c r="Q182" s="838"/>
      <c r="R182" s="862">
        <v>45838</v>
      </c>
      <c r="S182" s="838" t="s">
        <v>58</v>
      </c>
      <c r="T182" s="863">
        <v>45852</v>
      </c>
      <c r="U182" s="864" t="s">
        <v>1810</v>
      </c>
      <c r="V182" s="848" t="s">
        <v>79</v>
      </c>
      <c r="W182" s="865">
        <v>3.9945</v>
      </c>
      <c r="X182" s="866">
        <f t="shared" si="100"/>
        <v>2828.106</v>
      </c>
      <c r="Y182" s="838" t="s">
        <v>1813</v>
      </c>
      <c r="Z182" s="838" t="s">
        <v>1549</v>
      </c>
      <c r="AA182" s="838" t="s">
        <v>53</v>
      </c>
      <c r="AB182" s="873" t="s">
        <v>54</v>
      </c>
      <c r="AC182" s="838"/>
      <c r="AD182" s="874">
        <v>708</v>
      </c>
      <c r="AE182" s="874">
        <f t="shared" si="92"/>
        <v>0</v>
      </c>
      <c r="AF182" s="875"/>
      <c r="AG182" s="838"/>
      <c r="AH182" s="838"/>
      <c r="AI182" s="838">
        <f t="shared" si="101"/>
        <v>1416</v>
      </c>
      <c r="AJ182" s="838"/>
      <c r="AK182" s="838"/>
      <c r="AN182" s="838">
        <f t="shared" ref="AN182:AN188" si="106">I182*2</f>
        <v>1416</v>
      </c>
      <c r="AO182" s="838"/>
      <c r="AQ182" s="838">
        <f t="shared" si="102"/>
        <v>1416</v>
      </c>
      <c r="AR182" s="838"/>
      <c r="AS182" s="838"/>
      <c r="AT182" s="838"/>
      <c r="BL182" s="803">
        <f t="shared" si="103"/>
        <v>708</v>
      </c>
      <c r="BM182" s="803">
        <f t="shared" si="104"/>
        <v>708</v>
      </c>
      <c r="BO182" s="803">
        <f t="shared" si="105"/>
        <v>708</v>
      </c>
      <c r="BS182" s="888">
        <f t="shared" si="61"/>
        <v>1416</v>
      </c>
      <c r="BT182" s="889">
        <f t="shared" si="62"/>
        <v>2541045</v>
      </c>
      <c r="BU182" s="892"/>
      <c r="BV182" s="892"/>
      <c r="BW182" s="892"/>
      <c r="BX182" s="892"/>
      <c r="BY182" s="891">
        <f t="shared" si="59"/>
        <v>278955</v>
      </c>
      <c r="CA182" s="805">
        <f t="shared" si="63"/>
        <v>0</v>
      </c>
      <c r="CB182" s="888">
        <f t="shared" si="64"/>
        <v>50696.5714285714</v>
      </c>
      <c r="CC182" s="892"/>
      <c r="CD182" s="892"/>
      <c r="CE182" s="892"/>
      <c r="CF182" s="888">
        <f t="shared" si="60"/>
        <v>9303.4285714286</v>
      </c>
      <c r="CG182" s="892"/>
    </row>
    <row r="183" s="803" customFormat="1" ht="31" hidden="1" customHeight="1" spans="1:85">
      <c r="A183" s="834">
        <v>45838</v>
      </c>
      <c r="B183" s="835" t="s">
        <v>1808</v>
      </c>
      <c r="C183" s="839" t="s">
        <v>41</v>
      </c>
      <c r="D183" s="837">
        <v>4500169860</v>
      </c>
      <c r="E183" s="835">
        <v>93677192</v>
      </c>
      <c r="F183" s="837" t="s">
        <v>1814</v>
      </c>
      <c r="G183" s="838" t="s">
        <v>1147</v>
      </c>
      <c r="H183" s="838" t="s">
        <v>1148</v>
      </c>
      <c r="I183" s="838">
        <v>396</v>
      </c>
      <c r="J183" s="838">
        <v>0</v>
      </c>
      <c r="K183" s="838">
        <v>12</v>
      </c>
      <c r="L183" s="847">
        <f t="shared" si="99"/>
        <v>33</v>
      </c>
      <c r="M183" s="848">
        <v>45875</v>
      </c>
      <c r="N183" s="848">
        <v>45871</v>
      </c>
      <c r="O183" s="849"/>
      <c r="P183" s="850" t="s">
        <v>46</v>
      </c>
      <c r="Q183" s="838"/>
      <c r="R183" s="862">
        <v>45838</v>
      </c>
      <c r="S183" s="838" t="s">
        <v>58</v>
      </c>
      <c r="T183" s="863">
        <v>45852</v>
      </c>
      <c r="U183" s="864" t="s">
        <v>1810</v>
      </c>
      <c r="V183" s="848" t="s">
        <v>79</v>
      </c>
      <c r="W183" s="865">
        <v>3.9945</v>
      </c>
      <c r="X183" s="866">
        <f t="shared" si="100"/>
        <v>1581.822</v>
      </c>
      <c r="Y183" s="838" t="s">
        <v>1815</v>
      </c>
      <c r="Z183" s="838" t="s">
        <v>1549</v>
      </c>
      <c r="AA183" s="838" t="s">
        <v>53</v>
      </c>
      <c r="AB183" s="873" t="s">
        <v>54</v>
      </c>
      <c r="AC183" s="838"/>
      <c r="AD183" s="874">
        <v>396</v>
      </c>
      <c r="AE183" s="874">
        <f t="shared" si="92"/>
        <v>0</v>
      </c>
      <c r="AF183" s="875"/>
      <c r="AG183" s="838"/>
      <c r="AH183" s="838"/>
      <c r="AI183" s="838">
        <f t="shared" si="101"/>
        <v>792</v>
      </c>
      <c r="AJ183" s="838"/>
      <c r="AK183" s="838"/>
      <c r="AN183" s="838">
        <f t="shared" si="106"/>
        <v>792</v>
      </c>
      <c r="AO183" s="838"/>
      <c r="AQ183" s="838">
        <f t="shared" si="102"/>
        <v>792</v>
      </c>
      <c r="AR183" s="838"/>
      <c r="AS183" s="838"/>
      <c r="AT183" s="838"/>
      <c r="BL183" s="803">
        <f t="shared" si="103"/>
        <v>396</v>
      </c>
      <c r="BM183" s="803">
        <f t="shared" si="104"/>
        <v>396</v>
      </c>
      <c r="BO183" s="803">
        <f t="shared" si="105"/>
        <v>396</v>
      </c>
      <c r="BS183" s="888">
        <f t="shared" si="61"/>
        <v>792</v>
      </c>
      <c r="BT183" s="889">
        <f t="shared" si="62"/>
        <v>2541837</v>
      </c>
      <c r="BU183" s="892"/>
      <c r="BV183" s="892"/>
      <c r="BW183" s="892"/>
      <c r="BX183" s="892"/>
      <c r="BY183" s="891">
        <f t="shared" si="59"/>
        <v>278163</v>
      </c>
      <c r="CA183" s="805">
        <f t="shared" si="63"/>
        <v>0</v>
      </c>
      <c r="CB183" s="888">
        <f t="shared" si="64"/>
        <v>50696.5714285714</v>
      </c>
      <c r="CC183" s="892"/>
      <c r="CD183" s="892"/>
      <c r="CE183" s="892"/>
      <c r="CF183" s="888">
        <f t="shared" si="60"/>
        <v>9303.4285714286</v>
      </c>
      <c r="CG183" s="892"/>
    </row>
    <row r="184" s="803" customFormat="1" ht="31" hidden="1" customHeight="1" spans="1:85">
      <c r="A184" s="834">
        <v>45838</v>
      </c>
      <c r="B184" s="835" t="s">
        <v>1808</v>
      </c>
      <c r="C184" s="839" t="s">
        <v>41</v>
      </c>
      <c r="D184" s="837">
        <v>4500169860</v>
      </c>
      <c r="E184" s="835">
        <v>93677193</v>
      </c>
      <c r="F184" s="837" t="s">
        <v>1816</v>
      </c>
      <c r="G184" s="838" t="s">
        <v>1147</v>
      </c>
      <c r="H184" s="838" t="s">
        <v>1148</v>
      </c>
      <c r="I184" s="838">
        <v>480</v>
      </c>
      <c r="J184" s="838">
        <v>0</v>
      </c>
      <c r="K184" s="838">
        <v>12</v>
      </c>
      <c r="L184" s="847">
        <f t="shared" si="99"/>
        <v>40</v>
      </c>
      <c r="M184" s="848">
        <v>45875</v>
      </c>
      <c r="N184" s="848">
        <v>45871</v>
      </c>
      <c r="O184" s="849"/>
      <c r="P184" s="850" t="s">
        <v>46</v>
      </c>
      <c r="Q184" s="838"/>
      <c r="R184" s="862">
        <v>45838</v>
      </c>
      <c r="S184" s="838" t="s">
        <v>58</v>
      </c>
      <c r="T184" s="863">
        <v>45852</v>
      </c>
      <c r="U184" s="864" t="s">
        <v>1810</v>
      </c>
      <c r="V184" s="848" t="s">
        <v>79</v>
      </c>
      <c r="W184" s="865">
        <v>3.9945</v>
      </c>
      <c r="X184" s="866">
        <f t="shared" si="100"/>
        <v>1917.36</v>
      </c>
      <c r="Y184" s="838" t="s">
        <v>1813</v>
      </c>
      <c r="Z184" s="838" t="s">
        <v>1549</v>
      </c>
      <c r="AA184" s="838" t="s">
        <v>53</v>
      </c>
      <c r="AB184" s="873" t="s">
        <v>54</v>
      </c>
      <c r="AC184" s="838"/>
      <c r="AD184" s="874">
        <v>480</v>
      </c>
      <c r="AE184" s="874">
        <f t="shared" ref="AE181:AE195" si="107">AD184-I184</f>
        <v>0</v>
      </c>
      <c r="AF184" s="875"/>
      <c r="AG184" s="838"/>
      <c r="AH184" s="838"/>
      <c r="AI184" s="838">
        <f t="shared" si="101"/>
        <v>960</v>
      </c>
      <c r="AJ184" s="838"/>
      <c r="AK184" s="838"/>
      <c r="AN184" s="838">
        <f t="shared" si="106"/>
        <v>960</v>
      </c>
      <c r="AO184" s="838"/>
      <c r="AQ184" s="838">
        <f t="shared" si="102"/>
        <v>960</v>
      </c>
      <c r="AR184" s="838"/>
      <c r="AS184" s="838"/>
      <c r="AT184" s="838"/>
      <c r="BL184" s="803">
        <f t="shared" si="103"/>
        <v>480</v>
      </c>
      <c r="BM184" s="803">
        <f t="shared" si="104"/>
        <v>480</v>
      </c>
      <c r="BO184" s="803">
        <f t="shared" si="105"/>
        <v>480</v>
      </c>
      <c r="BS184" s="888">
        <f t="shared" si="61"/>
        <v>960</v>
      </c>
      <c r="BT184" s="889">
        <f t="shared" si="62"/>
        <v>2542797</v>
      </c>
      <c r="BU184" s="892"/>
      <c r="BV184" s="892"/>
      <c r="BW184" s="892"/>
      <c r="BX184" s="892"/>
      <c r="BY184" s="891">
        <f t="shared" si="59"/>
        <v>277203</v>
      </c>
      <c r="CA184" s="805">
        <f t="shared" si="63"/>
        <v>0</v>
      </c>
      <c r="CB184" s="888">
        <f t="shared" si="64"/>
        <v>50696.5714285714</v>
      </c>
      <c r="CC184" s="892"/>
      <c r="CD184" s="892"/>
      <c r="CE184" s="892"/>
      <c r="CF184" s="888">
        <f t="shared" si="60"/>
        <v>9303.4285714286</v>
      </c>
      <c r="CG184" s="892"/>
    </row>
    <row r="185" s="803" customFormat="1" ht="31" hidden="1" customHeight="1" spans="1:85">
      <c r="A185" s="834">
        <v>45838</v>
      </c>
      <c r="B185" s="835" t="s">
        <v>1808</v>
      </c>
      <c r="C185" s="839" t="s">
        <v>41</v>
      </c>
      <c r="D185" s="837">
        <v>4500169860</v>
      </c>
      <c r="E185" s="835">
        <v>93902294</v>
      </c>
      <c r="F185" s="837" t="s">
        <v>1817</v>
      </c>
      <c r="G185" s="838" t="s">
        <v>1147</v>
      </c>
      <c r="H185" s="838" t="s">
        <v>1148</v>
      </c>
      <c r="I185" s="838">
        <v>744</v>
      </c>
      <c r="J185" s="838">
        <v>0</v>
      </c>
      <c r="K185" s="838">
        <v>12</v>
      </c>
      <c r="L185" s="847">
        <f t="shared" si="99"/>
        <v>62</v>
      </c>
      <c r="M185" s="848">
        <v>45875</v>
      </c>
      <c r="N185" s="848">
        <v>45871</v>
      </c>
      <c r="O185" s="849"/>
      <c r="P185" s="850" t="s">
        <v>46</v>
      </c>
      <c r="Q185" s="838"/>
      <c r="R185" s="862">
        <v>45838</v>
      </c>
      <c r="S185" s="838" t="s">
        <v>58</v>
      </c>
      <c r="T185" s="863">
        <v>45852</v>
      </c>
      <c r="U185" s="864" t="s">
        <v>1810</v>
      </c>
      <c r="V185" s="848" t="s">
        <v>79</v>
      </c>
      <c r="W185" s="865">
        <v>3.9945</v>
      </c>
      <c r="X185" s="866">
        <f t="shared" si="100"/>
        <v>2971.908</v>
      </c>
      <c r="Y185" s="838" t="s">
        <v>1811</v>
      </c>
      <c r="Z185" s="838" t="s">
        <v>1549</v>
      </c>
      <c r="AA185" s="838" t="s">
        <v>53</v>
      </c>
      <c r="AB185" s="873" t="s">
        <v>54</v>
      </c>
      <c r="AC185" s="838"/>
      <c r="AD185" s="874">
        <v>744</v>
      </c>
      <c r="AE185" s="874">
        <f t="shared" si="107"/>
        <v>0</v>
      </c>
      <c r="AF185" s="875"/>
      <c r="AG185" s="838"/>
      <c r="AH185" s="838"/>
      <c r="AI185" s="838">
        <f t="shared" si="101"/>
        <v>1488</v>
      </c>
      <c r="AJ185" s="838"/>
      <c r="AK185" s="838"/>
      <c r="AN185" s="838">
        <f t="shared" si="106"/>
        <v>1488</v>
      </c>
      <c r="AO185" s="838"/>
      <c r="AQ185" s="838">
        <f t="shared" si="102"/>
        <v>1488</v>
      </c>
      <c r="AR185" s="838"/>
      <c r="AS185" s="838"/>
      <c r="AT185" s="838"/>
      <c r="BL185" s="803">
        <f t="shared" si="103"/>
        <v>744</v>
      </c>
      <c r="BM185" s="803">
        <f t="shared" si="104"/>
        <v>744</v>
      </c>
      <c r="BO185" s="803">
        <f t="shared" si="105"/>
        <v>744</v>
      </c>
      <c r="BS185" s="888">
        <f t="shared" si="61"/>
        <v>1488</v>
      </c>
      <c r="BT185" s="889">
        <f t="shared" si="62"/>
        <v>2544285</v>
      </c>
      <c r="BU185" s="892"/>
      <c r="BV185" s="892"/>
      <c r="BW185" s="892"/>
      <c r="BX185" s="892"/>
      <c r="BY185" s="891">
        <f t="shared" si="59"/>
        <v>275715</v>
      </c>
      <c r="CA185" s="805">
        <f t="shared" si="63"/>
        <v>0</v>
      </c>
      <c r="CB185" s="888">
        <f t="shared" si="64"/>
        <v>50696.5714285714</v>
      </c>
      <c r="CC185" s="892"/>
      <c r="CD185" s="892"/>
      <c r="CE185" s="892"/>
      <c r="CF185" s="888">
        <f t="shared" si="60"/>
        <v>9303.4285714286</v>
      </c>
      <c r="CG185" s="892"/>
    </row>
    <row r="186" s="803" customFormat="1" ht="31" hidden="1" customHeight="1" spans="1:85">
      <c r="A186" s="834">
        <v>45838</v>
      </c>
      <c r="B186" s="835" t="s">
        <v>1808</v>
      </c>
      <c r="C186" s="839" t="s">
        <v>41</v>
      </c>
      <c r="D186" s="837">
        <v>4500169860</v>
      </c>
      <c r="E186" s="835">
        <v>93902295</v>
      </c>
      <c r="F186" s="837" t="s">
        <v>1818</v>
      </c>
      <c r="G186" s="838" t="s">
        <v>1147</v>
      </c>
      <c r="H186" s="838" t="s">
        <v>1148</v>
      </c>
      <c r="I186" s="838">
        <v>180</v>
      </c>
      <c r="J186" s="838">
        <v>0</v>
      </c>
      <c r="K186" s="838">
        <v>12</v>
      </c>
      <c r="L186" s="847">
        <f t="shared" si="99"/>
        <v>15</v>
      </c>
      <c r="M186" s="848">
        <v>45875</v>
      </c>
      <c r="N186" s="848">
        <v>45871</v>
      </c>
      <c r="O186" s="849"/>
      <c r="P186" s="850" t="s">
        <v>46</v>
      </c>
      <c r="Q186" s="838"/>
      <c r="R186" s="862">
        <v>45838</v>
      </c>
      <c r="S186" s="838" t="s">
        <v>58</v>
      </c>
      <c r="T186" s="863">
        <v>45852</v>
      </c>
      <c r="U186" s="864" t="s">
        <v>1810</v>
      </c>
      <c r="V186" s="848" t="s">
        <v>79</v>
      </c>
      <c r="W186" s="865">
        <v>3.9945</v>
      </c>
      <c r="X186" s="866">
        <f t="shared" si="100"/>
        <v>719.01</v>
      </c>
      <c r="Y186" s="838" t="s">
        <v>1813</v>
      </c>
      <c r="Z186" s="838" t="s">
        <v>1549</v>
      </c>
      <c r="AA186" s="838" t="s">
        <v>53</v>
      </c>
      <c r="AB186" s="873" t="s">
        <v>54</v>
      </c>
      <c r="AC186" s="838"/>
      <c r="AD186" s="874">
        <v>180</v>
      </c>
      <c r="AE186" s="874">
        <f t="shared" si="107"/>
        <v>0</v>
      </c>
      <c r="AF186" s="875"/>
      <c r="AG186" s="838"/>
      <c r="AH186" s="838"/>
      <c r="AI186" s="838">
        <f t="shared" si="101"/>
        <v>360</v>
      </c>
      <c r="AJ186" s="838"/>
      <c r="AK186" s="838"/>
      <c r="AN186" s="838">
        <f t="shared" si="106"/>
        <v>360</v>
      </c>
      <c r="AO186" s="838"/>
      <c r="AQ186" s="838">
        <f t="shared" si="102"/>
        <v>360</v>
      </c>
      <c r="AR186" s="838"/>
      <c r="AS186" s="838"/>
      <c r="AT186" s="838"/>
      <c r="BL186" s="803">
        <f t="shared" si="103"/>
        <v>180</v>
      </c>
      <c r="BM186" s="803">
        <f t="shared" si="104"/>
        <v>180</v>
      </c>
      <c r="BO186" s="803">
        <f t="shared" si="105"/>
        <v>180</v>
      </c>
      <c r="BS186" s="888">
        <f t="shared" si="61"/>
        <v>360</v>
      </c>
      <c r="BT186" s="889">
        <f t="shared" si="62"/>
        <v>2544645</v>
      </c>
      <c r="BU186" s="892"/>
      <c r="BV186" s="892"/>
      <c r="BW186" s="892"/>
      <c r="BX186" s="892"/>
      <c r="BY186" s="891">
        <f t="shared" si="59"/>
        <v>275355</v>
      </c>
      <c r="CA186" s="805">
        <f t="shared" si="63"/>
        <v>0</v>
      </c>
      <c r="CB186" s="888">
        <f t="shared" si="64"/>
        <v>50696.5714285714</v>
      </c>
      <c r="CC186" s="892"/>
      <c r="CD186" s="892"/>
      <c r="CE186" s="892"/>
      <c r="CF186" s="888">
        <f t="shared" si="60"/>
        <v>9303.4285714286</v>
      </c>
      <c r="CG186" s="892"/>
    </row>
    <row r="187" s="803" customFormat="1" ht="31" hidden="1" customHeight="1" spans="1:85">
      <c r="A187" s="834">
        <v>45838</v>
      </c>
      <c r="B187" s="835" t="s">
        <v>1808</v>
      </c>
      <c r="C187" s="839" t="s">
        <v>41</v>
      </c>
      <c r="D187" s="837">
        <v>4500169860</v>
      </c>
      <c r="E187" s="835">
        <v>93677092</v>
      </c>
      <c r="F187" s="837" t="s">
        <v>1819</v>
      </c>
      <c r="G187" s="838" t="s">
        <v>1147</v>
      </c>
      <c r="H187" s="838" t="s">
        <v>1148</v>
      </c>
      <c r="I187" s="838">
        <v>120</v>
      </c>
      <c r="J187" s="838">
        <v>0</v>
      </c>
      <c r="K187" s="838">
        <v>12</v>
      </c>
      <c r="L187" s="847">
        <f t="shared" si="99"/>
        <v>10</v>
      </c>
      <c r="M187" s="848">
        <v>45875</v>
      </c>
      <c r="N187" s="848">
        <v>45871</v>
      </c>
      <c r="O187" s="849"/>
      <c r="P187" s="850" t="s">
        <v>46</v>
      </c>
      <c r="Q187" s="838"/>
      <c r="R187" s="862">
        <v>45838</v>
      </c>
      <c r="S187" s="838" t="s">
        <v>58</v>
      </c>
      <c r="T187" s="863">
        <v>45852</v>
      </c>
      <c r="U187" s="864" t="s">
        <v>1810</v>
      </c>
      <c r="V187" s="848" t="s">
        <v>79</v>
      </c>
      <c r="W187" s="865">
        <v>3.9945</v>
      </c>
      <c r="X187" s="866">
        <f t="shared" si="100"/>
        <v>479.34</v>
      </c>
      <c r="Y187" s="838" t="s">
        <v>1815</v>
      </c>
      <c r="Z187" s="838" t="s">
        <v>1549</v>
      </c>
      <c r="AA187" s="838" t="s">
        <v>53</v>
      </c>
      <c r="AB187" s="873" t="s">
        <v>54</v>
      </c>
      <c r="AC187" s="838"/>
      <c r="AD187" s="874">
        <v>120</v>
      </c>
      <c r="AE187" s="874">
        <f t="shared" si="107"/>
        <v>0</v>
      </c>
      <c r="AF187" s="875"/>
      <c r="AG187" s="838"/>
      <c r="AH187" s="838"/>
      <c r="AI187" s="838">
        <f t="shared" si="101"/>
        <v>240</v>
      </c>
      <c r="AJ187" s="838"/>
      <c r="AK187" s="838"/>
      <c r="AN187" s="838">
        <f t="shared" si="106"/>
        <v>240</v>
      </c>
      <c r="AO187" s="838"/>
      <c r="AQ187" s="838">
        <f t="shared" si="102"/>
        <v>240</v>
      </c>
      <c r="AR187" s="838"/>
      <c r="AS187" s="838"/>
      <c r="AT187" s="838"/>
      <c r="BL187" s="803">
        <f t="shared" si="103"/>
        <v>120</v>
      </c>
      <c r="BM187" s="803">
        <f t="shared" si="104"/>
        <v>120</v>
      </c>
      <c r="BO187" s="803">
        <f t="shared" si="105"/>
        <v>120</v>
      </c>
      <c r="BS187" s="888">
        <f t="shared" si="61"/>
        <v>240</v>
      </c>
      <c r="BT187" s="889">
        <f t="shared" si="62"/>
        <v>2544885</v>
      </c>
      <c r="BU187" s="892"/>
      <c r="BV187" s="892"/>
      <c r="BW187" s="892"/>
      <c r="BX187" s="892"/>
      <c r="BY187" s="891">
        <f t="shared" si="59"/>
        <v>275115</v>
      </c>
      <c r="CA187" s="805">
        <f t="shared" si="63"/>
        <v>0</v>
      </c>
      <c r="CB187" s="888">
        <f t="shared" si="64"/>
        <v>50696.5714285714</v>
      </c>
      <c r="CC187" s="892"/>
      <c r="CD187" s="892"/>
      <c r="CE187" s="892"/>
      <c r="CF187" s="888">
        <f t="shared" si="60"/>
        <v>9303.4285714286</v>
      </c>
      <c r="CG187" s="892"/>
    </row>
    <row r="188" s="803" customFormat="1" ht="31" hidden="1" customHeight="1" spans="1:85">
      <c r="A188" s="834">
        <v>45838</v>
      </c>
      <c r="B188" s="835" t="s">
        <v>1808</v>
      </c>
      <c r="C188" s="839" t="s">
        <v>41</v>
      </c>
      <c r="D188" s="837">
        <v>4500169860</v>
      </c>
      <c r="E188" s="835">
        <v>93677093</v>
      </c>
      <c r="F188" s="837" t="s">
        <v>1820</v>
      </c>
      <c r="G188" s="838" t="s">
        <v>1147</v>
      </c>
      <c r="H188" s="838" t="s">
        <v>1148</v>
      </c>
      <c r="I188" s="838">
        <v>144</v>
      </c>
      <c r="J188" s="838">
        <v>0</v>
      </c>
      <c r="K188" s="838">
        <v>12</v>
      </c>
      <c r="L188" s="847">
        <f t="shared" si="99"/>
        <v>12</v>
      </c>
      <c r="M188" s="848">
        <v>45875</v>
      </c>
      <c r="N188" s="848">
        <v>45871</v>
      </c>
      <c r="O188" s="849"/>
      <c r="P188" s="850" t="s">
        <v>46</v>
      </c>
      <c r="Q188" s="838"/>
      <c r="R188" s="862">
        <v>45838</v>
      </c>
      <c r="S188" s="838" t="s">
        <v>58</v>
      </c>
      <c r="T188" s="863">
        <v>45852</v>
      </c>
      <c r="U188" s="864" t="s">
        <v>1810</v>
      </c>
      <c r="V188" s="848" t="s">
        <v>79</v>
      </c>
      <c r="W188" s="865">
        <v>3.9945</v>
      </c>
      <c r="X188" s="866">
        <f t="shared" si="100"/>
        <v>575.208</v>
      </c>
      <c r="Y188" s="838" t="s">
        <v>1813</v>
      </c>
      <c r="Z188" s="838" t="s">
        <v>1549</v>
      </c>
      <c r="AA188" s="838" t="s">
        <v>53</v>
      </c>
      <c r="AB188" s="873" t="s">
        <v>54</v>
      </c>
      <c r="AC188" s="838"/>
      <c r="AD188" s="874">
        <v>144</v>
      </c>
      <c r="AE188" s="874">
        <f t="shared" si="107"/>
        <v>0</v>
      </c>
      <c r="AF188" s="875"/>
      <c r="AG188" s="838"/>
      <c r="AH188" s="838"/>
      <c r="AI188" s="838">
        <f t="shared" si="101"/>
        <v>288</v>
      </c>
      <c r="AJ188" s="838"/>
      <c r="AK188" s="838"/>
      <c r="AN188" s="838">
        <f t="shared" si="106"/>
        <v>288</v>
      </c>
      <c r="AO188" s="838"/>
      <c r="AQ188" s="838">
        <f t="shared" si="102"/>
        <v>288</v>
      </c>
      <c r="AR188" s="838"/>
      <c r="AS188" s="838"/>
      <c r="AT188" s="838"/>
      <c r="BL188" s="803">
        <f t="shared" si="103"/>
        <v>144</v>
      </c>
      <c r="BM188" s="803">
        <f t="shared" si="104"/>
        <v>144</v>
      </c>
      <c r="BO188" s="803">
        <f t="shared" si="105"/>
        <v>144</v>
      </c>
      <c r="BS188" s="888">
        <f t="shared" si="61"/>
        <v>288</v>
      </c>
      <c r="BT188" s="889">
        <f t="shared" si="62"/>
        <v>2545173</v>
      </c>
      <c r="BU188" s="892"/>
      <c r="BV188" s="892"/>
      <c r="BW188" s="892"/>
      <c r="BX188" s="892"/>
      <c r="BY188" s="891">
        <f t="shared" si="59"/>
        <v>274827</v>
      </c>
      <c r="CA188" s="805">
        <f t="shared" si="63"/>
        <v>0</v>
      </c>
      <c r="CB188" s="888">
        <f t="shared" si="64"/>
        <v>50696.5714285714</v>
      </c>
      <c r="CC188" s="892"/>
      <c r="CD188" s="892"/>
      <c r="CE188" s="892"/>
      <c r="CF188" s="888">
        <f t="shared" si="60"/>
        <v>9303.4285714286</v>
      </c>
      <c r="CG188" s="892"/>
    </row>
    <row r="189" s="803" customFormat="1" ht="31" hidden="1" customHeight="1" spans="1:85">
      <c r="A189" s="834">
        <v>45840</v>
      </c>
      <c r="B189" s="835" t="s">
        <v>1255</v>
      </c>
      <c r="C189" s="839" t="s">
        <v>84</v>
      </c>
      <c r="D189" s="837">
        <v>4500172365</v>
      </c>
      <c r="E189" s="835" t="s">
        <v>1821</v>
      </c>
      <c r="F189" s="837" t="s">
        <v>1822</v>
      </c>
      <c r="G189" s="838" t="s">
        <v>1147</v>
      </c>
      <c r="H189" s="838" t="s">
        <v>1148</v>
      </c>
      <c r="I189" s="838">
        <v>996</v>
      </c>
      <c r="J189" s="838">
        <v>0</v>
      </c>
      <c r="K189" s="838">
        <v>12</v>
      </c>
      <c r="L189" s="847">
        <f t="shared" si="99"/>
        <v>83</v>
      </c>
      <c r="M189" s="848">
        <v>45876</v>
      </c>
      <c r="N189" s="848">
        <v>45873</v>
      </c>
      <c r="O189" s="849"/>
      <c r="P189" s="850" t="s">
        <v>46</v>
      </c>
      <c r="Q189" s="838"/>
      <c r="R189" s="862">
        <v>45847</v>
      </c>
      <c r="S189" s="838" t="s">
        <v>58</v>
      </c>
      <c r="T189" s="863" t="s">
        <v>1706</v>
      </c>
      <c r="U189" s="864" t="s">
        <v>1707</v>
      </c>
      <c r="V189" s="848" t="s">
        <v>1260</v>
      </c>
      <c r="W189" s="865">
        <v>2.4244</v>
      </c>
      <c r="X189" s="866">
        <f t="shared" si="100"/>
        <v>2414.7024</v>
      </c>
      <c r="Y189" s="838" t="s">
        <v>1823</v>
      </c>
      <c r="Z189" s="838" t="s">
        <v>1147</v>
      </c>
      <c r="AA189" s="838" t="s">
        <v>53</v>
      </c>
      <c r="AB189" s="873" t="s">
        <v>54</v>
      </c>
      <c r="AC189" s="838"/>
      <c r="AD189" s="874">
        <v>996</v>
      </c>
      <c r="AE189" s="874">
        <f t="shared" si="107"/>
        <v>0</v>
      </c>
      <c r="AF189" s="875"/>
      <c r="AG189" s="838" t="s">
        <v>55</v>
      </c>
      <c r="AH189" s="838"/>
      <c r="AI189" s="838">
        <f t="shared" si="101"/>
        <v>1992</v>
      </c>
      <c r="AJ189" s="838"/>
      <c r="AK189" s="838"/>
      <c r="AL189" s="803">
        <f>I189*2</f>
        <v>1992</v>
      </c>
      <c r="AN189" s="838"/>
      <c r="AO189" s="838"/>
      <c r="AQ189" s="838">
        <f t="shared" si="102"/>
        <v>1992</v>
      </c>
      <c r="AR189" s="838"/>
      <c r="AS189" s="838"/>
      <c r="AT189" s="838"/>
      <c r="BL189" s="803">
        <f t="shared" si="103"/>
        <v>996</v>
      </c>
      <c r="BM189" s="803">
        <f t="shared" si="104"/>
        <v>996</v>
      </c>
      <c r="BO189" s="803">
        <f t="shared" si="105"/>
        <v>996</v>
      </c>
      <c r="BS189" s="888">
        <f t="shared" si="61"/>
        <v>1992</v>
      </c>
      <c r="BT189" s="889">
        <f t="shared" si="62"/>
        <v>2547165</v>
      </c>
      <c r="BU189" s="892"/>
      <c r="BV189" s="892"/>
      <c r="BW189" s="892"/>
      <c r="BX189" s="892"/>
      <c r="BY189" s="891">
        <f t="shared" si="59"/>
        <v>272835</v>
      </c>
      <c r="CA189" s="805">
        <f t="shared" si="63"/>
        <v>0</v>
      </c>
      <c r="CB189" s="888">
        <f t="shared" si="64"/>
        <v>50696.5714285714</v>
      </c>
      <c r="CC189" s="892"/>
      <c r="CD189" s="892"/>
      <c r="CE189" s="892"/>
      <c r="CF189" s="888">
        <f t="shared" si="60"/>
        <v>9303.4285714286</v>
      </c>
      <c r="CG189" s="892"/>
    </row>
    <row r="190" s="803" customFormat="1" ht="31" hidden="1" customHeight="1" spans="1:85">
      <c r="A190" s="834">
        <v>45840</v>
      </c>
      <c r="B190" s="835" t="s">
        <v>1255</v>
      </c>
      <c r="C190" s="839" t="s">
        <v>84</v>
      </c>
      <c r="D190" s="837">
        <v>4500172370</v>
      </c>
      <c r="E190" s="835" t="s">
        <v>1824</v>
      </c>
      <c r="F190" s="837" t="s">
        <v>1825</v>
      </c>
      <c r="G190" s="838" t="s">
        <v>1147</v>
      </c>
      <c r="H190" s="838" t="s">
        <v>1148</v>
      </c>
      <c r="I190" s="838">
        <v>1200</v>
      </c>
      <c r="J190" s="838">
        <v>0</v>
      </c>
      <c r="K190" s="838">
        <v>12</v>
      </c>
      <c r="L190" s="847">
        <f t="shared" si="99"/>
        <v>100</v>
      </c>
      <c r="M190" s="848">
        <v>45876</v>
      </c>
      <c r="N190" s="848">
        <v>45873</v>
      </c>
      <c r="O190" s="849"/>
      <c r="P190" s="850" t="s">
        <v>46</v>
      </c>
      <c r="Q190" s="838"/>
      <c r="R190" s="862">
        <v>45847</v>
      </c>
      <c r="S190" s="838" t="s">
        <v>58</v>
      </c>
      <c r="T190" s="863" t="s">
        <v>1706</v>
      </c>
      <c r="U190" s="864" t="s">
        <v>1707</v>
      </c>
      <c r="V190" s="848" t="s">
        <v>1260</v>
      </c>
      <c r="W190" s="865">
        <v>2.4244</v>
      </c>
      <c r="X190" s="866">
        <f t="shared" si="100"/>
        <v>2909.28</v>
      </c>
      <c r="Y190" s="838" t="s">
        <v>1826</v>
      </c>
      <c r="Z190" s="838" t="s">
        <v>1147</v>
      </c>
      <c r="AA190" s="838" t="s">
        <v>53</v>
      </c>
      <c r="AB190" s="873" t="s">
        <v>54</v>
      </c>
      <c r="AC190" s="838"/>
      <c r="AD190" s="874">
        <v>1200</v>
      </c>
      <c r="AE190" s="874">
        <f t="shared" si="107"/>
        <v>0</v>
      </c>
      <c r="AF190" s="875"/>
      <c r="AG190" s="838" t="s">
        <v>55</v>
      </c>
      <c r="AH190" s="838"/>
      <c r="AI190" s="838">
        <f t="shared" si="101"/>
        <v>2400</v>
      </c>
      <c r="AJ190" s="838"/>
      <c r="AK190" s="838"/>
      <c r="AL190" s="803">
        <f>I190*2</f>
        <v>2400</v>
      </c>
      <c r="AN190" s="838"/>
      <c r="AO190" s="838"/>
      <c r="AQ190" s="838">
        <f t="shared" si="102"/>
        <v>2400</v>
      </c>
      <c r="AR190" s="838"/>
      <c r="AS190" s="838"/>
      <c r="AT190" s="838"/>
      <c r="BL190" s="803">
        <f t="shared" si="103"/>
        <v>1200</v>
      </c>
      <c r="BM190" s="803">
        <f t="shared" si="104"/>
        <v>1200</v>
      </c>
      <c r="BO190" s="803">
        <f t="shared" si="105"/>
        <v>1200</v>
      </c>
      <c r="BS190" s="888">
        <f t="shared" si="61"/>
        <v>2400</v>
      </c>
      <c r="BT190" s="889">
        <f t="shared" si="62"/>
        <v>2549565</v>
      </c>
      <c r="BU190" s="892"/>
      <c r="BV190" s="892"/>
      <c r="BW190" s="892"/>
      <c r="BX190" s="892"/>
      <c r="BY190" s="891">
        <f t="shared" si="59"/>
        <v>270435</v>
      </c>
      <c r="CA190" s="805">
        <f t="shared" si="63"/>
        <v>0</v>
      </c>
      <c r="CB190" s="888">
        <f t="shared" si="64"/>
        <v>50696.5714285714</v>
      </c>
      <c r="CC190" s="892"/>
      <c r="CD190" s="892"/>
      <c r="CE190" s="892"/>
      <c r="CF190" s="888">
        <f t="shared" si="60"/>
        <v>9303.4285714286</v>
      </c>
      <c r="CG190" s="892"/>
    </row>
    <row r="191" s="803" customFormat="1" ht="31" hidden="1" customHeight="1" spans="1:85">
      <c r="A191" s="834">
        <v>45839</v>
      </c>
      <c r="B191" s="835" t="s">
        <v>1145</v>
      </c>
      <c r="C191" s="839" t="s">
        <v>84</v>
      </c>
      <c r="D191" s="837">
        <v>4500172252</v>
      </c>
      <c r="E191" s="835">
        <v>60235864</v>
      </c>
      <c r="F191" s="837" t="s">
        <v>1827</v>
      </c>
      <c r="G191" s="838" t="s">
        <v>1147</v>
      </c>
      <c r="H191" s="838" t="s">
        <v>1148</v>
      </c>
      <c r="I191" s="838">
        <v>2004</v>
      </c>
      <c r="J191" s="838">
        <v>0</v>
      </c>
      <c r="K191" s="838">
        <v>12</v>
      </c>
      <c r="L191" s="847">
        <f t="shared" si="99"/>
        <v>167</v>
      </c>
      <c r="M191" s="848">
        <v>45874</v>
      </c>
      <c r="N191" s="848">
        <v>45870</v>
      </c>
      <c r="O191" s="849"/>
      <c r="P191" s="850" t="s">
        <v>46</v>
      </c>
      <c r="Q191" s="838" t="s">
        <v>1828</v>
      </c>
      <c r="R191" s="862">
        <v>45846</v>
      </c>
      <c r="S191" s="838" t="s">
        <v>58</v>
      </c>
      <c r="T191" s="863">
        <v>45854</v>
      </c>
      <c r="U191" s="864" t="s">
        <v>1829</v>
      </c>
      <c r="V191" s="848" t="s">
        <v>1788</v>
      </c>
      <c r="W191" s="865">
        <v>2.3946</v>
      </c>
      <c r="X191" s="866">
        <f t="shared" si="100"/>
        <v>4798.7784</v>
      </c>
      <c r="Y191" s="838" t="s">
        <v>1830</v>
      </c>
      <c r="Z191" s="838" t="s">
        <v>1147</v>
      </c>
      <c r="AA191" s="838" t="s">
        <v>53</v>
      </c>
      <c r="AB191" s="873" t="s">
        <v>54</v>
      </c>
      <c r="AC191" s="838"/>
      <c r="AD191" s="874">
        <v>2004</v>
      </c>
      <c r="AE191" s="874">
        <f t="shared" si="107"/>
        <v>0</v>
      </c>
      <c r="AF191" s="875"/>
      <c r="AG191" s="838" t="s">
        <v>55</v>
      </c>
      <c r="AH191" s="838"/>
      <c r="AI191" s="838">
        <f t="shared" si="101"/>
        <v>4008</v>
      </c>
      <c r="AJ191" s="838"/>
      <c r="AK191" s="838">
        <f>I191*2</f>
        <v>4008</v>
      </c>
      <c r="AN191" s="838"/>
      <c r="AO191" s="838"/>
      <c r="AQ191" s="838">
        <f t="shared" si="102"/>
        <v>4008</v>
      </c>
      <c r="AR191" s="838"/>
      <c r="AS191" s="838"/>
      <c r="AT191" s="838"/>
      <c r="BL191" s="803">
        <f t="shared" si="103"/>
        <v>2004</v>
      </c>
      <c r="BM191" s="803">
        <f t="shared" si="104"/>
        <v>2004</v>
      </c>
      <c r="BO191" s="803">
        <f t="shared" si="105"/>
        <v>2004</v>
      </c>
      <c r="BS191" s="888">
        <f t="shared" si="61"/>
        <v>4008</v>
      </c>
      <c r="BT191" s="889">
        <f t="shared" si="62"/>
        <v>2553573</v>
      </c>
      <c r="BU191" s="892"/>
      <c r="BV191" s="892"/>
      <c r="BW191" s="892"/>
      <c r="BX191" s="892"/>
      <c r="BY191" s="891">
        <f t="shared" si="59"/>
        <v>266427</v>
      </c>
      <c r="CA191" s="805">
        <f t="shared" si="63"/>
        <v>0</v>
      </c>
      <c r="CB191" s="888">
        <f t="shared" si="64"/>
        <v>50696.5714285714</v>
      </c>
      <c r="CC191" s="892"/>
      <c r="CD191" s="892"/>
      <c r="CE191" s="892"/>
      <c r="CF191" s="888">
        <f t="shared" si="60"/>
        <v>9303.4285714286</v>
      </c>
      <c r="CG191" s="892"/>
    </row>
    <row r="192" s="803" customFormat="1" ht="31" hidden="1" customHeight="1" spans="1:85">
      <c r="A192" s="834">
        <v>45797</v>
      </c>
      <c r="B192" s="835" t="s">
        <v>1831</v>
      </c>
      <c r="C192" s="839" t="s">
        <v>610</v>
      </c>
      <c r="D192" s="837">
        <v>4500166910</v>
      </c>
      <c r="E192" s="835" t="s">
        <v>1832</v>
      </c>
      <c r="F192" s="837" t="s">
        <v>1833</v>
      </c>
      <c r="G192" s="838" t="s">
        <v>1181</v>
      </c>
      <c r="H192" s="838" t="s">
        <v>1140</v>
      </c>
      <c r="I192" s="838">
        <v>507</v>
      </c>
      <c r="J192" s="838">
        <v>0</v>
      </c>
      <c r="K192" s="838">
        <v>13</v>
      </c>
      <c r="L192" s="847">
        <f t="shared" si="99"/>
        <v>39</v>
      </c>
      <c r="M192" s="848">
        <v>45883</v>
      </c>
      <c r="N192" s="848">
        <v>45880</v>
      </c>
      <c r="O192" s="849"/>
      <c r="P192" s="850" t="s">
        <v>46</v>
      </c>
      <c r="Q192" s="838"/>
      <c r="R192" s="862">
        <v>45797</v>
      </c>
      <c r="S192" s="838" t="s">
        <v>48</v>
      </c>
      <c r="T192" s="863" t="s">
        <v>1706</v>
      </c>
      <c r="U192" s="864" t="s">
        <v>1834</v>
      </c>
      <c r="V192" s="848" t="s">
        <v>1512</v>
      </c>
      <c r="W192" s="865">
        <v>0.0165</v>
      </c>
      <c r="X192" s="866">
        <f t="shared" si="100"/>
        <v>8.3655</v>
      </c>
      <c r="Y192" s="838" t="s">
        <v>1835</v>
      </c>
      <c r="Z192" s="838" t="s">
        <v>1181</v>
      </c>
      <c r="AA192" s="838" t="s">
        <v>53</v>
      </c>
      <c r="AB192" s="873" t="s">
        <v>54</v>
      </c>
      <c r="AC192" s="838"/>
      <c r="AD192" s="874">
        <v>507</v>
      </c>
      <c r="AE192" s="874">
        <f t="shared" si="107"/>
        <v>0</v>
      </c>
      <c r="AF192" s="875"/>
      <c r="AG192" s="838" t="s">
        <v>55</v>
      </c>
      <c r="AH192" s="838"/>
      <c r="AI192" s="838">
        <f>I192</f>
        <v>507</v>
      </c>
      <c r="AJ192" s="838"/>
      <c r="AK192" s="838">
        <f>I192</f>
        <v>507</v>
      </c>
      <c r="AN192" s="838"/>
      <c r="AO192" s="838"/>
      <c r="AQ192" s="838">
        <f>I192</f>
        <v>507</v>
      </c>
      <c r="AR192" s="838"/>
      <c r="AS192" s="838"/>
      <c r="AT192" s="838"/>
      <c r="BA192" s="803">
        <f>I192/13</f>
        <v>39</v>
      </c>
      <c r="BS192" s="888">
        <f t="shared" si="61"/>
        <v>507</v>
      </c>
      <c r="BT192" s="889">
        <f t="shared" si="62"/>
        <v>2554080</v>
      </c>
      <c r="BU192" s="892"/>
      <c r="BV192" s="892"/>
      <c r="BW192" s="892"/>
      <c r="BX192" s="892"/>
      <c r="BY192" s="891">
        <f t="shared" si="59"/>
        <v>265920</v>
      </c>
      <c r="CA192" s="805">
        <f t="shared" si="63"/>
        <v>0</v>
      </c>
      <c r="CB192" s="888">
        <f t="shared" si="64"/>
        <v>50696.5714285714</v>
      </c>
      <c r="CC192" s="892"/>
      <c r="CD192" s="892"/>
      <c r="CE192" s="892"/>
      <c r="CF192" s="888">
        <f t="shared" si="60"/>
        <v>9303.4285714286</v>
      </c>
      <c r="CG192" s="892"/>
    </row>
    <row r="193" s="803" customFormat="1" ht="31" hidden="1" customHeight="1" spans="1:85">
      <c r="A193" s="834">
        <v>45853</v>
      </c>
      <c r="B193" s="835" t="s">
        <v>955</v>
      </c>
      <c r="C193" s="839" t="s">
        <v>41</v>
      </c>
      <c r="D193" s="837">
        <v>4500173851</v>
      </c>
      <c r="E193" s="835"/>
      <c r="F193" s="837" t="s">
        <v>1836</v>
      </c>
      <c r="G193" s="838" t="s">
        <v>1147</v>
      </c>
      <c r="H193" s="838" t="s">
        <v>1148</v>
      </c>
      <c r="I193" s="838">
        <v>276</v>
      </c>
      <c r="J193" s="838">
        <v>0</v>
      </c>
      <c r="K193" s="838">
        <v>12</v>
      </c>
      <c r="L193" s="847">
        <f t="shared" si="99"/>
        <v>23</v>
      </c>
      <c r="M193" s="848">
        <v>45884</v>
      </c>
      <c r="N193" s="848">
        <v>45880</v>
      </c>
      <c r="O193" s="849"/>
      <c r="P193" s="850" t="s">
        <v>46</v>
      </c>
      <c r="Q193" s="838"/>
      <c r="R193" s="862">
        <v>45853</v>
      </c>
      <c r="S193" s="838" t="s">
        <v>58</v>
      </c>
      <c r="T193" s="863" t="s">
        <v>1706</v>
      </c>
      <c r="U193" s="864" t="s">
        <v>1837</v>
      </c>
      <c r="V193" s="848" t="s">
        <v>79</v>
      </c>
      <c r="W193" s="865">
        <v>4.0406</v>
      </c>
      <c r="X193" s="866">
        <f t="shared" si="100"/>
        <v>1115.2056</v>
      </c>
      <c r="Y193" s="838" t="s">
        <v>1838</v>
      </c>
      <c r="Z193" s="838" t="s">
        <v>1549</v>
      </c>
      <c r="AA193" s="838" t="s">
        <v>53</v>
      </c>
      <c r="AB193" s="873" t="s">
        <v>54</v>
      </c>
      <c r="AC193" s="838"/>
      <c r="AD193" s="874">
        <v>276</v>
      </c>
      <c r="AE193" s="874">
        <f t="shared" si="107"/>
        <v>0</v>
      </c>
      <c r="AF193" s="875"/>
      <c r="AG193" s="838" t="s">
        <v>55</v>
      </c>
      <c r="AH193" s="838"/>
      <c r="AI193" s="838">
        <f>I193*2</f>
        <v>552</v>
      </c>
      <c r="AJ193" s="838"/>
      <c r="AK193" s="838"/>
      <c r="AN193" s="838">
        <f>I193*2</f>
        <v>552</v>
      </c>
      <c r="AO193" s="838"/>
      <c r="AQ193" s="838">
        <f>I193*2</f>
        <v>552</v>
      </c>
      <c r="AR193" s="838"/>
      <c r="AS193" s="838"/>
      <c r="AT193" s="838"/>
      <c r="BL193" s="803">
        <f>I193</f>
        <v>276</v>
      </c>
      <c r="BM193" s="803">
        <f>I193</f>
        <v>276</v>
      </c>
      <c r="BO193" s="803">
        <f>I193</f>
        <v>276</v>
      </c>
      <c r="BS193" s="888">
        <f t="shared" si="61"/>
        <v>552</v>
      </c>
      <c r="BT193" s="889">
        <f t="shared" si="62"/>
        <v>2554632</v>
      </c>
      <c r="BU193" s="892"/>
      <c r="BV193" s="892"/>
      <c r="BW193" s="892"/>
      <c r="BX193" s="892"/>
      <c r="BY193" s="891">
        <f t="shared" si="59"/>
        <v>265368</v>
      </c>
      <c r="CA193" s="805">
        <f t="shared" si="63"/>
        <v>0</v>
      </c>
      <c r="CB193" s="888">
        <f t="shared" si="64"/>
        <v>50696.5714285714</v>
      </c>
      <c r="CC193" s="892"/>
      <c r="CD193" s="892"/>
      <c r="CE193" s="892"/>
      <c r="CF193" s="888">
        <f t="shared" si="60"/>
        <v>9303.4285714286</v>
      </c>
      <c r="CG193" s="892"/>
    </row>
    <row r="194" s="803" customFormat="1" ht="31" customHeight="1" spans="1:85">
      <c r="A194" s="834">
        <v>45800</v>
      </c>
      <c r="B194" s="835" t="s">
        <v>844</v>
      </c>
      <c r="C194" s="839" t="s">
        <v>753</v>
      </c>
      <c r="D194" s="837">
        <v>4500167710</v>
      </c>
      <c r="E194" s="835"/>
      <c r="F194" s="837" t="s">
        <v>1839</v>
      </c>
      <c r="G194" s="838" t="s">
        <v>1155</v>
      </c>
      <c r="H194" s="838" t="s">
        <v>1140</v>
      </c>
      <c r="I194" s="838">
        <v>700</v>
      </c>
      <c r="J194" s="838">
        <v>0</v>
      </c>
      <c r="K194" s="838">
        <v>50</v>
      </c>
      <c r="L194" s="847">
        <f t="shared" si="99"/>
        <v>14</v>
      </c>
      <c r="M194" s="848">
        <v>45887</v>
      </c>
      <c r="N194" s="848">
        <v>45883</v>
      </c>
      <c r="O194" s="849"/>
      <c r="P194" s="850" t="s">
        <v>46</v>
      </c>
      <c r="Q194" s="849">
        <v>45912</v>
      </c>
      <c r="R194" s="862">
        <v>45831</v>
      </c>
      <c r="S194" s="838" t="s">
        <v>58</v>
      </c>
      <c r="T194" s="863" t="s">
        <v>1840</v>
      </c>
      <c r="U194" s="864" t="s">
        <v>1841</v>
      </c>
      <c r="V194" s="848" t="s">
        <v>653</v>
      </c>
      <c r="W194" s="865">
        <v>1.9605</v>
      </c>
      <c r="X194" s="866">
        <f t="shared" si="100"/>
        <v>1372.35</v>
      </c>
      <c r="Y194" s="838" t="s">
        <v>1842</v>
      </c>
      <c r="Z194" s="838" t="s">
        <v>1160</v>
      </c>
      <c r="AA194" s="838" t="s">
        <v>53</v>
      </c>
      <c r="AB194" s="873" t="s">
        <v>54</v>
      </c>
      <c r="AC194" s="838"/>
      <c r="AD194" s="874">
        <v>700</v>
      </c>
      <c r="AE194" s="874">
        <f t="shared" si="107"/>
        <v>0</v>
      </c>
      <c r="AF194" s="875"/>
      <c r="AG194" s="838" t="s">
        <v>55</v>
      </c>
      <c r="AH194" s="838"/>
      <c r="AI194" s="838">
        <f>I194</f>
        <v>700</v>
      </c>
      <c r="AJ194" s="838"/>
      <c r="AK194" s="838"/>
      <c r="AN194" s="838">
        <f>I194</f>
        <v>700</v>
      </c>
      <c r="AO194" s="838"/>
      <c r="AQ194" s="838">
        <f>I194</f>
        <v>700</v>
      </c>
      <c r="AR194" s="838"/>
      <c r="AS194" s="838"/>
      <c r="AT194" s="838"/>
      <c r="BC194" s="803">
        <f>I194/25</f>
        <v>28</v>
      </c>
      <c r="BS194" s="888">
        <f t="shared" si="61"/>
        <v>700</v>
      </c>
      <c r="BT194" s="889">
        <f t="shared" si="62"/>
        <v>2555332</v>
      </c>
      <c r="BU194" s="892"/>
      <c r="BV194" s="892"/>
      <c r="BW194" s="892"/>
      <c r="BX194" s="892"/>
      <c r="BY194" s="891">
        <f t="shared" si="59"/>
        <v>264668</v>
      </c>
      <c r="CA194" s="805">
        <f t="shared" si="63"/>
        <v>28</v>
      </c>
      <c r="CB194" s="888">
        <f t="shared" si="64"/>
        <v>50724.5714285714</v>
      </c>
      <c r="CC194" s="892"/>
      <c r="CD194" s="892"/>
      <c r="CE194" s="892"/>
      <c r="CF194" s="888">
        <f t="shared" si="60"/>
        <v>9275.4285714286</v>
      </c>
      <c r="CG194" s="892"/>
    </row>
    <row r="195" s="803" customFormat="1" ht="31" hidden="1" customHeight="1" spans="1:85">
      <c r="A195" s="834">
        <v>45849</v>
      </c>
      <c r="B195" s="835" t="s">
        <v>535</v>
      </c>
      <c r="C195" s="839" t="s">
        <v>63</v>
      </c>
      <c r="D195" s="837">
        <v>4500173446</v>
      </c>
      <c r="E195" s="835" t="s">
        <v>1843</v>
      </c>
      <c r="F195" s="837" t="s">
        <v>1844</v>
      </c>
      <c r="G195" s="838" t="s">
        <v>1147</v>
      </c>
      <c r="H195" s="838" t="s">
        <v>1148</v>
      </c>
      <c r="I195" s="838">
        <v>492</v>
      </c>
      <c r="J195" s="838">
        <v>0</v>
      </c>
      <c r="K195" s="838">
        <v>12</v>
      </c>
      <c r="L195" s="847">
        <f t="shared" si="99"/>
        <v>41</v>
      </c>
      <c r="M195" s="848">
        <v>45888</v>
      </c>
      <c r="N195" s="848">
        <v>45884</v>
      </c>
      <c r="O195" s="849"/>
      <c r="P195" s="850" t="s">
        <v>46</v>
      </c>
      <c r="Q195" s="838"/>
      <c r="R195" s="862" t="s">
        <v>1516</v>
      </c>
      <c r="S195" s="838" t="s">
        <v>48</v>
      </c>
      <c r="T195" s="863">
        <v>45856</v>
      </c>
      <c r="U195" s="864" t="s">
        <v>1845</v>
      </c>
      <c r="V195" s="848" t="s">
        <v>541</v>
      </c>
      <c r="W195" s="865">
        <v>4.0406</v>
      </c>
      <c r="X195" s="866">
        <f t="shared" si="100"/>
        <v>1987.9752</v>
      </c>
      <c r="Y195" s="838" t="s">
        <v>1846</v>
      </c>
      <c r="Z195" s="838" t="s">
        <v>1549</v>
      </c>
      <c r="AA195" s="838" t="s">
        <v>53</v>
      </c>
      <c r="AB195" s="873" t="s">
        <v>54</v>
      </c>
      <c r="AC195" s="838"/>
      <c r="AD195" s="874">
        <v>492</v>
      </c>
      <c r="AE195" s="874">
        <f t="shared" si="107"/>
        <v>0</v>
      </c>
      <c r="AF195" s="875"/>
      <c r="AG195" s="838" t="s">
        <v>55</v>
      </c>
      <c r="AH195" s="838"/>
      <c r="AI195" s="838">
        <f>I195*2</f>
        <v>984</v>
      </c>
      <c r="AJ195" s="838"/>
      <c r="AK195" s="838"/>
      <c r="AN195" s="838">
        <f>I195*2</f>
        <v>984</v>
      </c>
      <c r="AO195" s="838"/>
      <c r="AQ195" s="838">
        <f>I195*2</f>
        <v>984</v>
      </c>
      <c r="AR195" s="838"/>
      <c r="AS195" s="838"/>
      <c r="AT195" s="838"/>
      <c r="BL195" s="803">
        <f>I195</f>
        <v>492</v>
      </c>
      <c r="BM195" s="803">
        <f>I195</f>
        <v>492</v>
      </c>
      <c r="BO195" s="803">
        <f>I195</f>
        <v>492</v>
      </c>
      <c r="BS195" s="888">
        <f t="shared" si="61"/>
        <v>984</v>
      </c>
      <c r="BT195" s="889">
        <f t="shared" si="62"/>
        <v>2556316</v>
      </c>
      <c r="BU195" s="892"/>
      <c r="BV195" s="892"/>
      <c r="BW195" s="892"/>
      <c r="BX195" s="892"/>
      <c r="BY195" s="891">
        <f t="shared" ref="BY195:BY258" si="108">SUM(BV$1:BZ$1)-BT195</f>
        <v>263684</v>
      </c>
      <c r="CA195" s="805">
        <f t="shared" si="63"/>
        <v>0</v>
      </c>
      <c r="CB195" s="888">
        <f t="shared" si="64"/>
        <v>50724.5714285714</v>
      </c>
      <c r="CC195" s="892"/>
      <c r="CD195" s="892"/>
      <c r="CE195" s="892"/>
      <c r="CF195" s="888">
        <f t="shared" ref="CF195:CF258" si="109">$CD$1+$CE$1+$CF$1+$CG$1-CB195</f>
        <v>9275.4285714286</v>
      </c>
      <c r="CG195" s="892"/>
    </row>
    <row r="196" s="803" customFormat="1" ht="31" hidden="1" customHeight="1" spans="1:85">
      <c r="A196" s="834">
        <v>45855</v>
      </c>
      <c r="B196" s="835" t="s">
        <v>199</v>
      </c>
      <c r="C196" s="839" t="s">
        <v>84</v>
      </c>
      <c r="D196" s="837">
        <v>4500174229</v>
      </c>
      <c r="E196" s="1302" t="s">
        <v>1847</v>
      </c>
      <c r="F196" s="837" t="s">
        <v>1848</v>
      </c>
      <c r="G196" s="838" t="s">
        <v>1189</v>
      </c>
      <c r="H196" s="838" t="s">
        <v>1140</v>
      </c>
      <c r="I196" s="838">
        <v>3456</v>
      </c>
      <c r="J196" s="838">
        <v>0</v>
      </c>
      <c r="K196" s="838">
        <v>1152</v>
      </c>
      <c r="L196" s="847">
        <f t="shared" ref="L196:L255" si="110">I196/K196</f>
        <v>3</v>
      </c>
      <c r="M196" s="848">
        <v>45889</v>
      </c>
      <c r="N196" s="848">
        <v>45885</v>
      </c>
      <c r="O196" s="849" t="s">
        <v>1849</v>
      </c>
      <c r="P196" s="850" t="s">
        <v>46</v>
      </c>
      <c r="Q196" s="838"/>
      <c r="R196" s="862" t="s">
        <v>251</v>
      </c>
      <c r="S196" s="838" t="s">
        <v>58</v>
      </c>
      <c r="T196" s="863">
        <v>45866</v>
      </c>
      <c r="U196" s="864" t="s">
        <v>1850</v>
      </c>
      <c r="V196" s="848" t="s">
        <v>207</v>
      </c>
      <c r="W196" s="865">
        <v>1296.6133</v>
      </c>
      <c r="X196" s="866">
        <f t="shared" ref="X196:X202" si="111">W196*L196</f>
        <v>3889.8399</v>
      </c>
      <c r="Y196" s="838" t="s">
        <v>1851</v>
      </c>
      <c r="Z196" s="838" t="s">
        <v>1189</v>
      </c>
      <c r="AA196" s="838" t="s">
        <v>53</v>
      </c>
      <c r="AB196" s="873" t="s">
        <v>54</v>
      </c>
      <c r="AC196" s="838"/>
      <c r="AD196" s="874">
        <v>3456</v>
      </c>
      <c r="AE196" s="874">
        <f t="shared" ref="AE196:AE222" si="112">AD196-I196</f>
        <v>0</v>
      </c>
      <c r="AF196" s="875"/>
      <c r="AG196" s="838"/>
      <c r="AH196" s="838"/>
      <c r="AI196" s="838">
        <f t="shared" ref="AI196:AI204" si="113">I196</f>
        <v>3456</v>
      </c>
      <c r="AJ196" s="838"/>
      <c r="AK196" s="838">
        <f t="shared" ref="AK196:AK204" si="114">I196</f>
        <v>3456</v>
      </c>
      <c r="AN196" s="838"/>
      <c r="AO196" s="838"/>
      <c r="AQ196" s="838"/>
      <c r="AR196" s="838"/>
      <c r="AS196" s="838">
        <f t="shared" ref="AS196:AS202" si="115">I196</f>
        <v>3456</v>
      </c>
      <c r="AT196" s="838"/>
      <c r="AX196" s="803">
        <f t="shared" ref="AX196:AX202" si="116">I196/12</f>
        <v>288</v>
      </c>
      <c r="BS196" s="888">
        <f t="shared" ref="BS196:BS259" si="117">AI196+AJ196</f>
        <v>3456</v>
      </c>
      <c r="BT196" s="889">
        <f t="shared" ref="BT196:BT259" si="118">BT195+BS196</f>
        <v>2559772</v>
      </c>
      <c r="BU196" s="892"/>
      <c r="BV196" s="892"/>
      <c r="BW196" s="892"/>
      <c r="BX196" s="892"/>
      <c r="BY196" s="891">
        <f t="shared" si="108"/>
        <v>260228</v>
      </c>
      <c r="CA196" s="805">
        <f t="shared" ref="CA196:CA259" si="119">AU196+AV196+BC196+BD196</f>
        <v>0</v>
      </c>
      <c r="CB196" s="888">
        <f t="shared" ref="CB196:CB259" si="120">CB195+CA196</f>
        <v>50724.5714285714</v>
      </c>
      <c r="CC196" s="892"/>
      <c r="CD196" s="892"/>
      <c r="CE196" s="892"/>
      <c r="CF196" s="888">
        <f t="shared" si="109"/>
        <v>9275.4285714286</v>
      </c>
      <c r="CG196" s="892"/>
    </row>
    <row r="197" s="803" customFormat="1" ht="31" hidden="1" customHeight="1" spans="1:85">
      <c r="A197" s="834">
        <v>45855</v>
      </c>
      <c r="B197" s="835" t="s">
        <v>199</v>
      </c>
      <c r="C197" s="839" t="s">
        <v>84</v>
      </c>
      <c r="D197" s="837">
        <v>4500174229</v>
      </c>
      <c r="E197" s="1302" t="s">
        <v>1852</v>
      </c>
      <c r="F197" s="837" t="s">
        <v>1853</v>
      </c>
      <c r="G197" s="838" t="s">
        <v>1189</v>
      </c>
      <c r="H197" s="838" t="s">
        <v>1140</v>
      </c>
      <c r="I197" s="838">
        <v>6912</v>
      </c>
      <c r="J197" s="838">
        <v>0</v>
      </c>
      <c r="K197" s="838">
        <v>1152</v>
      </c>
      <c r="L197" s="847">
        <f t="shared" si="110"/>
        <v>6</v>
      </c>
      <c r="M197" s="848">
        <v>45889</v>
      </c>
      <c r="N197" s="848">
        <v>45885</v>
      </c>
      <c r="O197" s="849" t="s">
        <v>1849</v>
      </c>
      <c r="P197" s="850" t="s">
        <v>46</v>
      </c>
      <c r="Q197" s="838"/>
      <c r="R197" s="862" t="s">
        <v>251</v>
      </c>
      <c r="S197" s="838" t="s">
        <v>58</v>
      </c>
      <c r="T197" s="863">
        <v>45866</v>
      </c>
      <c r="U197" s="864" t="s">
        <v>1850</v>
      </c>
      <c r="V197" s="848" t="s">
        <v>207</v>
      </c>
      <c r="W197" s="865">
        <v>1296.6133</v>
      </c>
      <c r="X197" s="866">
        <f t="shared" si="111"/>
        <v>7779.6798</v>
      </c>
      <c r="Y197" s="838" t="s">
        <v>1854</v>
      </c>
      <c r="Z197" s="838" t="s">
        <v>1189</v>
      </c>
      <c r="AA197" s="838" t="s">
        <v>53</v>
      </c>
      <c r="AB197" s="873" t="s">
        <v>54</v>
      </c>
      <c r="AC197" s="838"/>
      <c r="AD197" s="874">
        <v>6912</v>
      </c>
      <c r="AE197" s="874">
        <f t="shared" si="112"/>
        <v>0</v>
      </c>
      <c r="AF197" s="875"/>
      <c r="AG197" s="838"/>
      <c r="AH197" s="838"/>
      <c r="AI197" s="838">
        <f t="shared" si="113"/>
        <v>6912</v>
      </c>
      <c r="AJ197" s="838"/>
      <c r="AK197" s="838">
        <f t="shared" si="114"/>
        <v>6912</v>
      </c>
      <c r="AN197" s="838"/>
      <c r="AO197" s="838"/>
      <c r="AQ197" s="838"/>
      <c r="AR197" s="838"/>
      <c r="AS197" s="838">
        <f t="shared" si="115"/>
        <v>6912</v>
      </c>
      <c r="AT197" s="838"/>
      <c r="AX197" s="803">
        <f t="shared" si="116"/>
        <v>576</v>
      </c>
      <c r="BS197" s="888">
        <f t="shared" si="117"/>
        <v>6912</v>
      </c>
      <c r="BT197" s="889">
        <f t="shared" si="118"/>
        <v>2566684</v>
      </c>
      <c r="BU197" s="892"/>
      <c r="BV197" s="892"/>
      <c r="BW197" s="892"/>
      <c r="BX197" s="892"/>
      <c r="BY197" s="891">
        <f t="shared" si="108"/>
        <v>253316</v>
      </c>
      <c r="CA197" s="805">
        <f t="shared" si="119"/>
        <v>0</v>
      </c>
      <c r="CB197" s="888">
        <f t="shared" si="120"/>
        <v>50724.5714285714</v>
      </c>
      <c r="CC197" s="892"/>
      <c r="CD197" s="892"/>
      <c r="CE197" s="892"/>
      <c r="CF197" s="888">
        <f t="shared" si="109"/>
        <v>9275.4285714286</v>
      </c>
      <c r="CG197" s="892"/>
    </row>
    <row r="198" s="803" customFormat="1" ht="31" hidden="1" customHeight="1" spans="1:85">
      <c r="A198" s="834">
        <v>45855</v>
      </c>
      <c r="B198" s="835" t="s">
        <v>199</v>
      </c>
      <c r="C198" s="839" t="s">
        <v>84</v>
      </c>
      <c r="D198" s="837">
        <v>4500174229</v>
      </c>
      <c r="E198" s="1302" t="s">
        <v>1855</v>
      </c>
      <c r="F198" s="837" t="s">
        <v>1856</v>
      </c>
      <c r="G198" s="838" t="s">
        <v>1189</v>
      </c>
      <c r="H198" s="838" t="s">
        <v>1140</v>
      </c>
      <c r="I198" s="838">
        <v>2304</v>
      </c>
      <c r="J198" s="838">
        <v>0</v>
      </c>
      <c r="K198" s="838">
        <v>1152</v>
      </c>
      <c r="L198" s="847">
        <f t="shared" si="110"/>
        <v>2</v>
      </c>
      <c r="M198" s="848">
        <v>45889</v>
      </c>
      <c r="N198" s="848">
        <v>45885</v>
      </c>
      <c r="O198" s="849" t="s">
        <v>1849</v>
      </c>
      <c r="P198" s="850" t="s">
        <v>46</v>
      </c>
      <c r="Q198" s="838"/>
      <c r="R198" s="862" t="s">
        <v>251</v>
      </c>
      <c r="S198" s="838" t="s">
        <v>58</v>
      </c>
      <c r="T198" s="863">
        <v>45866</v>
      </c>
      <c r="U198" s="864" t="s">
        <v>1850</v>
      </c>
      <c r="V198" s="848" t="s">
        <v>207</v>
      </c>
      <c r="W198" s="865">
        <v>1296.61</v>
      </c>
      <c r="X198" s="866">
        <f t="shared" si="111"/>
        <v>2593.22</v>
      </c>
      <c r="Y198" s="838" t="s">
        <v>1857</v>
      </c>
      <c r="Z198" s="838" t="s">
        <v>1189</v>
      </c>
      <c r="AA198" s="838" t="s">
        <v>53</v>
      </c>
      <c r="AB198" s="873" t="s">
        <v>54</v>
      </c>
      <c r="AC198" s="838"/>
      <c r="AD198" s="874">
        <v>2304</v>
      </c>
      <c r="AE198" s="874">
        <f t="shared" si="112"/>
        <v>0</v>
      </c>
      <c r="AF198" s="875"/>
      <c r="AG198" s="838"/>
      <c r="AH198" s="838"/>
      <c r="AI198" s="838">
        <f t="shared" si="113"/>
        <v>2304</v>
      </c>
      <c r="AJ198" s="838"/>
      <c r="AK198" s="838">
        <f t="shared" si="114"/>
        <v>2304</v>
      </c>
      <c r="AN198" s="838"/>
      <c r="AO198" s="838"/>
      <c r="AQ198" s="838"/>
      <c r="AR198" s="838"/>
      <c r="AS198" s="838">
        <f t="shared" si="115"/>
        <v>2304</v>
      </c>
      <c r="AT198" s="838"/>
      <c r="AX198" s="803">
        <f t="shared" si="116"/>
        <v>192</v>
      </c>
      <c r="BS198" s="888">
        <f t="shared" si="117"/>
        <v>2304</v>
      </c>
      <c r="BT198" s="889">
        <f t="shared" si="118"/>
        <v>2568988</v>
      </c>
      <c r="BU198" s="892"/>
      <c r="BV198" s="892"/>
      <c r="BW198" s="892"/>
      <c r="BX198" s="892"/>
      <c r="BY198" s="891">
        <f t="shared" si="108"/>
        <v>251012</v>
      </c>
      <c r="CA198" s="805">
        <f t="shared" si="119"/>
        <v>0</v>
      </c>
      <c r="CB198" s="888">
        <f t="shared" si="120"/>
        <v>50724.5714285714</v>
      </c>
      <c r="CC198" s="892"/>
      <c r="CD198" s="892"/>
      <c r="CE198" s="892"/>
      <c r="CF198" s="888">
        <f t="shared" si="109"/>
        <v>9275.4285714286</v>
      </c>
      <c r="CG198" s="892"/>
    </row>
    <row r="199" s="803" customFormat="1" ht="31" hidden="1" customHeight="1" spans="1:85">
      <c r="A199" s="834">
        <v>45855</v>
      </c>
      <c r="B199" s="835" t="s">
        <v>199</v>
      </c>
      <c r="C199" s="839" t="s">
        <v>84</v>
      </c>
      <c r="D199" s="837">
        <v>4500174229</v>
      </c>
      <c r="E199" s="1302" t="s">
        <v>1858</v>
      </c>
      <c r="F199" s="837" t="s">
        <v>1859</v>
      </c>
      <c r="G199" s="838" t="s">
        <v>1189</v>
      </c>
      <c r="H199" s="838" t="s">
        <v>1140</v>
      </c>
      <c r="I199" s="838">
        <v>2304</v>
      </c>
      <c r="J199" s="838">
        <v>0</v>
      </c>
      <c r="K199" s="838">
        <v>1152</v>
      </c>
      <c r="L199" s="847">
        <f t="shared" si="110"/>
        <v>2</v>
      </c>
      <c r="M199" s="848">
        <v>45889</v>
      </c>
      <c r="N199" s="848">
        <v>45885</v>
      </c>
      <c r="O199" s="849" t="s">
        <v>1860</v>
      </c>
      <c r="P199" s="850" t="s">
        <v>46</v>
      </c>
      <c r="Q199" s="838"/>
      <c r="R199" s="862" t="s">
        <v>251</v>
      </c>
      <c r="S199" s="838" t="s">
        <v>58</v>
      </c>
      <c r="T199" s="863">
        <v>45866</v>
      </c>
      <c r="U199" s="864" t="s">
        <v>1850</v>
      </c>
      <c r="V199" s="848" t="s">
        <v>207</v>
      </c>
      <c r="W199" s="865">
        <v>1296.61</v>
      </c>
      <c r="X199" s="866">
        <f t="shared" si="111"/>
        <v>2593.22</v>
      </c>
      <c r="Y199" s="838" t="s">
        <v>1861</v>
      </c>
      <c r="Z199" s="838" t="s">
        <v>1189</v>
      </c>
      <c r="AA199" s="838" t="s">
        <v>53</v>
      </c>
      <c r="AB199" s="873" t="s">
        <v>54</v>
      </c>
      <c r="AC199" s="838"/>
      <c r="AD199" s="874">
        <v>2304</v>
      </c>
      <c r="AE199" s="874">
        <f t="shared" si="112"/>
        <v>0</v>
      </c>
      <c r="AF199" s="875"/>
      <c r="AG199" s="838"/>
      <c r="AH199" s="838"/>
      <c r="AI199" s="838">
        <f t="shared" si="113"/>
        <v>2304</v>
      </c>
      <c r="AJ199" s="838"/>
      <c r="AK199" s="838">
        <f t="shared" si="114"/>
        <v>2304</v>
      </c>
      <c r="AN199" s="838"/>
      <c r="AO199" s="838"/>
      <c r="AQ199" s="838"/>
      <c r="AR199" s="838"/>
      <c r="AS199" s="838">
        <f t="shared" si="115"/>
        <v>2304</v>
      </c>
      <c r="AT199" s="838"/>
      <c r="AX199" s="803">
        <f t="shared" si="116"/>
        <v>192</v>
      </c>
      <c r="BS199" s="888">
        <f t="shared" si="117"/>
        <v>2304</v>
      </c>
      <c r="BT199" s="889">
        <f t="shared" si="118"/>
        <v>2571292</v>
      </c>
      <c r="BU199" s="892"/>
      <c r="BV199" s="892"/>
      <c r="BW199" s="892"/>
      <c r="BX199" s="892"/>
      <c r="BY199" s="891">
        <f t="shared" si="108"/>
        <v>248708</v>
      </c>
      <c r="CA199" s="805">
        <f t="shared" si="119"/>
        <v>0</v>
      </c>
      <c r="CB199" s="888">
        <f t="shared" si="120"/>
        <v>50724.5714285714</v>
      </c>
      <c r="CC199" s="892"/>
      <c r="CD199" s="892"/>
      <c r="CE199" s="892"/>
      <c r="CF199" s="888">
        <f t="shared" si="109"/>
        <v>9275.4285714286</v>
      </c>
      <c r="CG199" s="892"/>
    </row>
    <row r="200" s="803" customFormat="1" ht="31" hidden="1" customHeight="1" spans="1:85">
      <c r="A200" s="834">
        <v>45855</v>
      </c>
      <c r="B200" s="835" t="s">
        <v>199</v>
      </c>
      <c r="C200" s="839" t="s">
        <v>84</v>
      </c>
      <c r="D200" s="837">
        <v>4500174229</v>
      </c>
      <c r="E200" s="1302" t="s">
        <v>1862</v>
      </c>
      <c r="F200" s="837" t="s">
        <v>1863</v>
      </c>
      <c r="G200" s="838" t="s">
        <v>1189</v>
      </c>
      <c r="H200" s="838" t="s">
        <v>1140</v>
      </c>
      <c r="I200" s="838">
        <v>1152</v>
      </c>
      <c r="J200" s="838">
        <v>0</v>
      </c>
      <c r="K200" s="838">
        <v>1152</v>
      </c>
      <c r="L200" s="847">
        <f t="shared" si="110"/>
        <v>1</v>
      </c>
      <c r="M200" s="848">
        <v>45889</v>
      </c>
      <c r="N200" s="848">
        <v>45885</v>
      </c>
      <c r="O200" s="849" t="s">
        <v>1849</v>
      </c>
      <c r="P200" s="850" t="s">
        <v>46</v>
      </c>
      <c r="Q200" s="838"/>
      <c r="R200" s="862" t="s">
        <v>251</v>
      </c>
      <c r="S200" s="838" t="s">
        <v>58</v>
      </c>
      <c r="T200" s="863">
        <v>45866</v>
      </c>
      <c r="U200" s="864" t="s">
        <v>1850</v>
      </c>
      <c r="V200" s="848" t="s">
        <v>207</v>
      </c>
      <c r="W200" s="865">
        <v>1296.61</v>
      </c>
      <c r="X200" s="866">
        <f t="shared" si="111"/>
        <v>1296.61</v>
      </c>
      <c r="Y200" s="838" t="s">
        <v>1864</v>
      </c>
      <c r="Z200" s="838" t="s">
        <v>1189</v>
      </c>
      <c r="AA200" s="838" t="s">
        <v>53</v>
      </c>
      <c r="AB200" s="873" t="s">
        <v>54</v>
      </c>
      <c r="AC200" s="838"/>
      <c r="AD200" s="874">
        <v>1152</v>
      </c>
      <c r="AE200" s="874">
        <f t="shared" si="112"/>
        <v>0</v>
      </c>
      <c r="AF200" s="875"/>
      <c r="AG200" s="838"/>
      <c r="AH200" s="838"/>
      <c r="AI200" s="838">
        <f t="shared" si="113"/>
        <v>1152</v>
      </c>
      <c r="AJ200" s="838"/>
      <c r="AK200" s="838">
        <f t="shared" si="114"/>
        <v>1152</v>
      </c>
      <c r="AN200" s="838"/>
      <c r="AO200" s="838"/>
      <c r="AQ200" s="838"/>
      <c r="AR200" s="838"/>
      <c r="AS200" s="838">
        <f t="shared" si="115"/>
        <v>1152</v>
      </c>
      <c r="AT200" s="838"/>
      <c r="AX200" s="803">
        <f t="shared" si="116"/>
        <v>96</v>
      </c>
      <c r="BS200" s="888">
        <f t="shared" si="117"/>
        <v>1152</v>
      </c>
      <c r="BT200" s="889">
        <f t="shared" si="118"/>
        <v>2572444</v>
      </c>
      <c r="BU200" s="892"/>
      <c r="BV200" s="892"/>
      <c r="BW200" s="892"/>
      <c r="BX200" s="892"/>
      <c r="BY200" s="891">
        <f t="shared" si="108"/>
        <v>247556</v>
      </c>
      <c r="CA200" s="805">
        <f t="shared" si="119"/>
        <v>0</v>
      </c>
      <c r="CB200" s="888">
        <f t="shared" si="120"/>
        <v>50724.5714285714</v>
      </c>
      <c r="CC200" s="892"/>
      <c r="CD200" s="892"/>
      <c r="CE200" s="892"/>
      <c r="CF200" s="888">
        <f t="shared" si="109"/>
        <v>9275.4285714286</v>
      </c>
      <c r="CG200" s="892"/>
    </row>
    <row r="201" s="803" customFormat="1" ht="31" hidden="1" customHeight="1" spans="1:85">
      <c r="A201" s="834">
        <v>45855</v>
      </c>
      <c r="B201" s="835" t="s">
        <v>199</v>
      </c>
      <c r="C201" s="839" t="s">
        <v>84</v>
      </c>
      <c r="D201" s="837">
        <v>4500174229</v>
      </c>
      <c r="E201" s="1302" t="s">
        <v>1865</v>
      </c>
      <c r="F201" s="837" t="s">
        <v>1866</v>
      </c>
      <c r="G201" s="838" t="s">
        <v>1189</v>
      </c>
      <c r="H201" s="838" t="s">
        <v>1140</v>
      </c>
      <c r="I201" s="838">
        <v>1152</v>
      </c>
      <c r="J201" s="838">
        <v>0</v>
      </c>
      <c r="K201" s="838">
        <v>1152</v>
      </c>
      <c r="L201" s="847">
        <f t="shared" si="110"/>
        <v>1</v>
      </c>
      <c r="M201" s="848">
        <v>45889</v>
      </c>
      <c r="N201" s="848">
        <v>45885</v>
      </c>
      <c r="O201" s="849" t="s">
        <v>1849</v>
      </c>
      <c r="P201" s="850" t="s">
        <v>46</v>
      </c>
      <c r="Q201" s="838"/>
      <c r="R201" s="862" t="s">
        <v>251</v>
      </c>
      <c r="S201" s="838" t="s">
        <v>58</v>
      </c>
      <c r="T201" s="863">
        <v>45866</v>
      </c>
      <c r="U201" s="864" t="s">
        <v>1850</v>
      </c>
      <c r="V201" s="848" t="s">
        <v>207</v>
      </c>
      <c r="W201" s="865">
        <v>1296.61</v>
      </c>
      <c r="X201" s="866">
        <f t="shared" si="111"/>
        <v>1296.61</v>
      </c>
      <c r="Y201" s="838" t="s">
        <v>1867</v>
      </c>
      <c r="Z201" s="838" t="s">
        <v>1189</v>
      </c>
      <c r="AA201" s="838" t="s">
        <v>53</v>
      </c>
      <c r="AB201" s="873" t="s">
        <v>54</v>
      </c>
      <c r="AC201" s="838"/>
      <c r="AD201" s="874">
        <v>1152</v>
      </c>
      <c r="AE201" s="874">
        <f t="shared" si="112"/>
        <v>0</v>
      </c>
      <c r="AF201" s="875"/>
      <c r="AG201" s="838"/>
      <c r="AH201" s="838"/>
      <c r="AI201" s="838">
        <f t="shared" si="113"/>
        <v>1152</v>
      </c>
      <c r="AJ201" s="838"/>
      <c r="AK201" s="838">
        <f t="shared" si="114"/>
        <v>1152</v>
      </c>
      <c r="AN201" s="838"/>
      <c r="AO201" s="838"/>
      <c r="AQ201" s="838"/>
      <c r="AR201" s="838"/>
      <c r="AS201" s="838">
        <f t="shared" si="115"/>
        <v>1152</v>
      </c>
      <c r="AT201" s="838"/>
      <c r="AX201" s="803">
        <f t="shared" si="116"/>
        <v>96</v>
      </c>
      <c r="BS201" s="888">
        <f t="shared" si="117"/>
        <v>1152</v>
      </c>
      <c r="BT201" s="889">
        <f t="shared" si="118"/>
        <v>2573596</v>
      </c>
      <c r="BU201" s="892"/>
      <c r="BV201" s="892"/>
      <c r="BW201" s="892"/>
      <c r="BX201" s="892"/>
      <c r="BY201" s="891">
        <f t="shared" si="108"/>
        <v>246404</v>
      </c>
      <c r="CA201" s="805">
        <f t="shared" si="119"/>
        <v>0</v>
      </c>
      <c r="CB201" s="888">
        <f t="shared" si="120"/>
        <v>50724.5714285714</v>
      </c>
      <c r="CC201" s="892"/>
      <c r="CD201" s="892"/>
      <c r="CE201" s="892"/>
      <c r="CF201" s="888">
        <f t="shared" si="109"/>
        <v>9275.4285714286</v>
      </c>
      <c r="CG201" s="892"/>
    </row>
    <row r="202" s="803" customFormat="1" ht="31" hidden="1" customHeight="1" spans="1:85">
      <c r="A202" s="834">
        <v>45855</v>
      </c>
      <c r="B202" s="835" t="s">
        <v>199</v>
      </c>
      <c r="C202" s="839" t="s">
        <v>84</v>
      </c>
      <c r="D202" s="837">
        <v>4500174229</v>
      </c>
      <c r="E202" s="1302" t="s">
        <v>1868</v>
      </c>
      <c r="F202" s="837" t="s">
        <v>1869</v>
      </c>
      <c r="G202" s="838" t="s">
        <v>1189</v>
      </c>
      <c r="H202" s="838" t="s">
        <v>1140</v>
      </c>
      <c r="I202" s="838">
        <v>1152</v>
      </c>
      <c r="J202" s="838">
        <v>0</v>
      </c>
      <c r="K202" s="838">
        <v>1152</v>
      </c>
      <c r="L202" s="847">
        <f t="shared" si="110"/>
        <v>1</v>
      </c>
      <c r="M202" s="848">
        <v>45889</v>
      </c>
      <c r="N202" s="848">
        <v>45885</v>
      </c>
      <c r="O202" s="849" t="s">
        <v>1849</v>
      </c>
      <c r="P202" s="850" t="s">
        <v>46</v>
      </c>
      <c r="Q202" s="838"/>
      <c r="R202" s="862" t="s">
        <v>251</v>
      </c>
      <c r="S202" s="838" t="s">
        <v>58</v>
      </c>
      <c r="T202" s="863">
        <v>45866</v>
      </c>
      <c r="U202" s="864" t="s">
        <v>1850</v>
      </c>
      <c r="V202" s="848" t="s">
        <v>207</v>
      </c>
      <c r="W202" s="865">
        <v>1296.61</v>
      </c>
      <c r="X202" s="866">
        <f t="shared" si="111"/>
        <v>1296.61</v>
      </c>
      <c r="Y202" s="838" t="s">
        <v>1870</v>
      </c>
      <c r="Z202" s="838" t="s">
        <v>1189</v>
      </c>
      <c r="AA202" s="838" t="s">
        <v>53</v>
      </c>
      <c r="AB202" s="873" t="s">
        <v>54</v>
      </c>
      <c r="AC202" s="838"/>
      <c r="AD202" s="874">
        <v>1152</v>
      </c>
      <c r="AE202" s="874">
        <f t="shared" si="112"/>
        <v>0</v>
      </c>
      <c r="AF202" s="875"/>
      <c r="AG202" s="838"/>
      <c r="AH202" s="838"/>
      <c r="AI202" s="838">
        <f t="shared" si="113"/>
        <v>1152</v>
      </c>
      <c r="AJ202" s="838"/>
      <c r="AK202" s="838">
        <f t="shared" si="114"/>
        <v>1152</v>
      </c>
      <c r="AN202" s="838"/>
      <c r="AO202" s="838"/>
      <c r="AQ202" s="838"/>
      <c r="AR202" s="838"/>
      <c r="AS202" s="838">
        <f t="shared" si="115"/>
        <v>1152</v>
      </c>
      <c r="AT202" s="838"/>
      <c r="AX202" s="803">
        <f t="shared" si="116"/>
        <v>96</v>
      </c>
      <c r="BS202" s="888">
        <f t="shared" si="117"/>
        <v>1152</v>
      </c>
      <c r="BT202" s="889">
        <f t="shared" si="118"/>
        <v>2574748</v>
      </c>
      <c r="BU202" s="892"/>
      <c r="BV202" s="892"/>
      <c r="BW202" s="892"/>
      <c r="BX202" s="892"/>
      <c r="BY202" s="891">
        <f t="shared" si="108"/>
        <v>245252</v>
      </c>
      <c r="CA202" s="805">
        <f t="shared" si="119"/>
        <v>0</v>
      </c>
      <c r="CB202" s="888">
        <f t="shared" si="120"/>
        <v>50724.5714285714</v>
      </c>
      <c r="CC202" s="892"/>
      <c r="CD202" s="892"/>
      <c r="CE202" s="892"/>
      <c r="CF202" s="888">
        <f t="shared" si="109"/>
        <v>9275.4285714286</v>
      </c>
      <c r="CG202" s="892"/>
    </row>
    <row r="203" s="803" customFormat="1" ht="31" hidden="1" customHeight="1" spans="1:85">
      <c r="A203" s="834">
        <v>45853</v>
      </c>
      <c r="B203" s="835" t="s">
        <v>1871</v>
      </c>
      <c r="C203" s="839" t="s">
        <v>1374</v>
      </c>
      <c r="D203" s="837">
        <v>4500173241</v>
      </c>
      <c r="E203" s="835" t="s">
        <v>1872</v>
      </c>
      <c r="F203" s="837" t="s">
        <v>1873</v>
      </c>
      <c r="G203" s="838" t="s">
        <v>1139</v>
      </c>
      <c r="H203" s="838" t="s">
        <v>1140</v>
      </c>
      <c r="I203" s="838">
        <v>468</v>
      </c>
      <c r="J203" s="838">
        <v>0</v>
      </c>
      <c r="K203" s="838">
        <v>52</v>
      </c>
      <c r="L203" s="847">
        <f t="shared" si="110"/>
        <v>9</v>
      </c>
      <c r="M203" s="848">
        <v>45894</v>
      </c>
      <c r="N203" s="848">
        <v>45890</v>
      </c>
      <c r="O203" s="849"/>
      <c r="P203" s="850" t="s">
        <v>46</v>
      </c>
      <c r="Q203" s="838"/>
      <c r="R203" s="862">
        <v>45853</v>
      </c>
      <c r="S203" s="838" t="s">
        <v>58</v>
      </c>
      <c r="T203" s="863" t="s">
        <v>58</v>
      </c>
      <c r="U203" s="864" t="s">
        <v>1874</v>
      </c>
      <c r="V203" s="848" t="s">
        <v>938</v>
      </c>
      <c r="W203" s="865">
        <v>1.8632</v>
      </c>
      <c r="X203" s="866">
        <f>I203*W203</f>
        <v>871.9776</v>
      </c>
      <c r="Y203" s="838" t="s">
        <v>1875</v>
      </c>
      <c r="Z203" s="838" t="s">
        <v>1139</v>
      </c>
      <c r="AA203" s="838" t="s">
        <v>53</v>
      </c>
      <c r="AB203" s="873" t="s">
        <v>54</v>
      </c>
      <c r="AC203" s="838"/>
      <c r="AD203" s="874">
        <v>468</v>
      </c>
      <c r="AE203" s="874">
        <f t="shared" si="112"/>
        <v>0</v>
      </c>
      <c r="AF203" s="875"/>
      <c r="AG203" s="838" t="s">
        <v>58</v>
      </c>
      <c r="AH203" s="838"/>
      <c r="AI203" s="838">
        <f t="shared" si="113"/>
        <v>468</v>
      </c>
      <c r="AJ203" s="838"/>
      <c r="AK203" s="838">
        <f t="shared" si="114"/>
        <v>468</v>
      </c>
      <c r="AN203" s="838"/>
      <c r="AO203" s="838"/>
      <c r="AQ203" s="838">
        <f>I203</f>
        <v>468</v>
      </c>
      <c r="AR203" s="838"/>
      <c r="AS203" s="838"/>
      <c r="AT203" s="838"/>
      <c r="BA203" s="803">
        <f>I203/13</f>
        <v>36</v>
      </c>
      <c r="BS203" s="888">
        <f t="shared" si="117"/>
        <v>468</v>
      </c>
      <c r="BT203" s="889">
        <f t="shared" si="118"/>
        <v>2575216</v>
      </c>
      <c r="BU203" s="892"/>
      <c r="BV203" s="892"/>
      <c r="BW203" s="892"/>
      <c r="BX203" s="892"/>
      <c r="BY203" s="891">
        <f t="shared" si="108"/>
        <v>244784</v>
      </c>
      <c r="CA203" s="805">
        <f t="shared" si="119"/>
        <v>0</v>
      </c>
      <c r="CB203" s="888">
        <f t="shared" si="120"/>
        <v>50724.5714285714</v>
      </c>
      <c r="CC203" s="892"/>
      <c r="CD203" s="892"/>
      <c r="CE203" s="892"/>
      <c r="CF203" s="888">
        <f t="shared" si="109"/>
        <v>9275.4285714286</v>
      </c>
      <c r="CG203" s="892"/>
    </row>
    <row r="204" s="803" customFormat="1" ht="31" hidden="1" customHeight="1" spans="1:85">
      <c r="A204" s="834">
        <v>45831</v>
      </c>
      <c r="B204" s="835" t="s">
        <v>1876</v>
      </c>
      <c r="C204" s="839" t="s">
        <v>179</v>
      </c>
      <c r="D204" s="837">
        <v>4500170921</v>
      </c>
      <c r="E204" s="835"/>
      <c r="F204" s="837" t="s">
        <v>1877</v>
      </c>
      <c r="G204" s="838" t="s">
        <v>1139</v>
      </c>
      <c r="H204" s="838" t="s">
        <v>1140</v>
      </c>
      <c r="I204" s="838">
        <v>2028</v>
      </c>
      <c r="J204" s="838">
        <v>0</v>
      </c>
      <c r="K204" s="838">
        <v>52</v>
      </c>
      <c r="L204" s="847">
        <f t="shared" si="110"/>
        <v>39</v>
      </c>
      <c r="M204" s="848">
        <v>45897</v>
      </c>
      <c r="N204" s="848">
        <v>45894</v>
      </c>
      <c r="O204" s="849"/>
      <c r="P204" s="850" t="s">
        <v>46</v>
      </c>
      <c r="Q204" s="838"/>
      <c r="R204" s="862" t="s">
        <v>1878</v>
      </c>
      <c r="S204" s="838" t="s">
        <v>58</v>
      </c>
      <c r="T204" s="863" t="s">
        <v>1879</v>
      </c>
      <c r="U204" s="864" t="s">
        <v>1880</v>
      </c>
      <c r="V204" s="848" t="s">
        <v>183</v>
      </c>
      <c r="W204" s="865">
        <v>1.8478</v>
      </c>
      <c r="X204" s="866">
        <f>I204*W204</f>
        <v>3747.3384</v>
      </c>
      <c r="Y204" s="838" t="s">
        <v>1881</v>
      </c>
      <c r="Z204" s="838" t="s">
        <v>1139</v>
      </c>
      <c r="AA204" s="838" t="s">
        <v>53</v>
      </c>
      <c r="AB204" s="873" t="s">
        <v>54</v>
      </c>
      <c r="AC204" s="838"/>
      <c r="AD204" s="874">
        <v>2028</v>
      </c>
      <c r="AE204" s="874">
        <f t="shared" si="112"/>
        <v>0</v>
      </c>
      <c r="AF204" s="875"/>
      <c r="AG204" s="838" t="s">
        <v>55</v>
      </c>
      <c r="AH204" s="838"/>
      <c r="AI204" s="838">
        <f t="shared" si="113"/>
        <v>2028</v>
      </c>
      <c r="AJ204" s="838"/>
      <c r="AK204" s="838">
        <f t="shared" si="114"/>
        <v>2028</v>
      </c>
      <c r="AN204" s="838"/>
      <c r="AO204" s="838"/>
      <c r="AQ204" s="838">
        <f>I204</f>
        <v>2028</v>
      </c>
      <c r="AR204" s="838"/>
      <c r="AS204" s="838"/>
      <c r="AT204" s="838"/>
      <c r="BA204" s="803">
        <f>I204/13</f>
        <v>156</v>
      </c>
      <c r="BS204" s="888">
        <f t="shared" si="117"/>
        <v>2028</v>
      </c>
      <c r="BT204" s="889">
        <f t="shared" si="118"/>
        <v>2577244</v>
      </c>
      <c r="BU204" s="892"/>
      <c r="BV204" s="892"/>
      <c r="BW204" s="892"/>
      <c r="BX204" s="892"/>
      <c r="BY204" s="891">
        <f t="shared" si="108"/>
        <v>242756</v>
      </c>
      <c r="CA204" s="805">
        <f t="shared" si="119"/>
        <v>0</v>
      </c>
      <c r="CB204" s="888">
        <f t="shared" si="120"/>
        <v>50724.5714285714</v>
      </c>
      <c r="CC204" s="892"/>
      <c r="CD204" s="892"/>
      <c r="CE204" s="892"/>
      <c r="CF204" s="888">
        <f t="shared" si="109"/>
        <v>9275.4285714286</v>
      </c>
      <c r="CG204" s="892"/>
    </row>
    <row r="205" s="803" customFormat="1" ht="31" hidden="1" customHeight="1" spans="1:85">
      <c r="A205" s="834">
        <v>45839</v>
      </c>
      <c r="B205" s="835" t="s">
        <v>1145</v>
      </c>
      <c r="C205" s="839" t="s">
        <v>84</v>
      </c>
      <c r="D205" s="837">
        <v>4500172260</v>
      </c>
      <c r="E205" s="835">
        <v>60235775</v>
      </c>
      <c r="F205" s="837" t="s">
        <v>1882</v>
      </c>
      <c r="G205" s="838" t="s">
        <v>1147</v>
      </c>
      <c r="H205" s="838" t="s">
        <v>1148</v>
      </c>
      <c r="I205" s="838">
        <v>2004</v>
      </c>
      <c r="J205" s="838">
        <v>0</v>
      </c>
      <c r="K205" s="838">
        <v>12</v>
      </c>
      <c r="L205" s="847">
        <f t="shared" si="110"/>
        <v>167</v>
      </c>
      <c r="M205" s="926">
        <v>45898</v>
      </c>
      <c r="N205" s="926">
        <v>45894</v>
      </c>
      <c r="O205" s="849"/>
      <c r="P205" s="850" t="s">
        <v>46</v>
      </c>
      <c r="Q205" s="838"/>
      <c r="R205" s="862">
        <v>45860</v>
      </c>
      <c r="S205" s="838" t="s">
        <v>58</v>
      </c>
      <c r="T205" s="863" t="s">
        <v>1150</v>
      </c>
      <c r="U205" s="864" t="s">
        <v>1787</v>
      </c>
      <c r="V205" s="848" t="s">
        <v>1788</v>
      </c>
      <c r="W205" s="865">
        <v>2.4174</v>
      </c>
      <c r="X205" s="866">
        <f>I205*W205</f>
        <v>4844.4696</v>
      </c>
      <c r="Y205" s="838" t="s">
        <v>1883</v>
      </c>
      <c r="Z205" s="838" t="s">
        <v>1884</v>
      </c>
      <c r="AA205" s="838" t="s">
        <v>53</v>
      </c>
      <c r="AB205" s="873" t="s">
        <v>54</v>
      </c>
      <c r="AC205" s="838"/>
      <c r="AD205" s="874">
        <v>2004</v>
      </c>
      <c r="AE205" s="874">
        <f t="shared" si="112"/>
        <v>0</v>
      </c>
      <c r="AF205" s="875"/>
      <c r="AG205" s="838" t="s">
        <v>55</v>
      </c>
      <c r="AH205" s="838"/>
      <c r="AI205" s="838">
        <f>I205*2</f>
        <v>4008</v>
      </c>
      <c r="AJ205" s="838"/>
      <c r="AK205" s="838">
        <f>I205*2</f>
        <v>4008</v>
      </c>
      <c r="AN205" s="838"/>
      <c r="AO205" s="838"/>
      <c r="AQ205" s="838">
        <f>I205*2</f>
        <v>4008</v>
      </c>
      <c r="AR205" s="838"/>
      <c r="AS205" s="838"/>
      <c r="AT205" s="838"/>
      <c r="BL205" s="803">
        <f>I205</f>
        <v>2004</v>
      </c>
      <c r="BM205" s="803">
        <f>I205</f>
        <v>2004</v>
      </c>
      <c r="BO205" s="803">
        <f>I205</f>
        <v>2004</v>
      </c>
      <c r="BS205" s="888">
        <f t="shared" si="117"/>
        <v>4008</v>
      </c>
      <c r="BT205" s="889">
        <f t="shared" si="118"/>
        <v>2581252</v>
      </c>
      <c r="BU205" s="892"/>
      <c r="BV205" s="892"/>
      <c r="BW205" s="892"/>
      <c r="BX205" s="892"/>
      <c r="BY205" s="891">
        <f t="shared" si="108"/>
        <v>238748</v>
      </c>
      <c r="CA205" s="805">
        <f t="shared" si="119"/>
        <v>0</v>
      </c>
      <c r="CB205" s="888">
        <f t="shared" si="120"/>
        <v>50724.5714285714</v>
      </c>
      <c r="CC205" s="892"/>
      <c r="CD205" s="892"/>
      <c r="CE205" s="892"/>
      <c r="CF205" s="888">
        <f t="shared" si="109"/>
        <v>9275.4285714286</v>
      </c>
      <c r="CG205" s="892"/>
    </row>
    <row r="206" s="803" customFormat="1" ht="31" hidden="1" customHeight="1" spans="1:85">
      <c r="A206" s="834">
        <v>45860</v>
      </c>
      <c r="B206" s="835" t="s">
        <v>1797</v>
      </c>
      <c r="C206" s="839" t="s">
        <v>84</v>
      </c>
      <c r="D206" s="837">
        <v>4500174588</v>
      </c>
      <c r="E206" s="835">
        <v>1617036</v>
      </c>
      <c r="F206" s="837" t="s">
        <v>1885</v>
      </c>
      <c r="G206" s="838" t="s">
        <v>1742</v>
      </c>
      <c r="H206" s="838" t="s">
        <v>1743</v>
      </c>
      <c r="I206" s="838">
        <v>600</v>
      </c>
      <c r="J206" s="838">
        <v>0</v>
      </c>
      <c r="K206" s="838">
        <v>8</v>
      </c>
      <c r="L206" s="847">
        <f t="shared" si="110"/>
        <v>75</v>
      </c>
      <c r="M206" s="848">
        <v>45903</v>
      </c>
      <c r="N206" s="848">
        <f>M206-4</f>
        <v>45899</v>
      </c>
      <c r="O206" s="849"/>
      <c r="P206" s="850" t="s">
        <v>46</v>
      </c>
      <c r="Q206" s="838" t="s">
        <v>1886</v>
      </c>
      <c r="R206" s="862">
        <v>45876</v>
      </c>
      <c r="S206" s="838" t="s">
        <v>58</v>
      </c>
      <c r="T206" s="863">
        <v>45877</v>
      </c>
      <c r="U206" s="864" t="s">
        <v>1887</v>
      </c>
      <c r="V206" s="848" t="s">
        <v>1801</v>
      </c>
      <c r="W206" s="865">
        <v>3.606</v>
      </c>
      <c r="X206" s="866">
        <f>W206*I206</f>
        <v>2163.6</v>
      </c>
      <c r="Y206" s="838" t="s">
        <v>1888</v>
      </c>
      <c r="Z206" s="838" t="s">
        <v>1803</v>
      </c>
      <c r="AA206" s="838" t="s">
        <v>53</v>
      </c>
      <c r="AB206" s="873" t="s">
        <v>54</v>
      </c>
      <c r="AC206" s="838"/>
      <c r="AD206" s="874">
        <v>600</v>
      </c>
      <c r="AE206" s="874">
        <f t="shared" si="112"/>
        <v>0</v>
      </c>
      <c r="AF206" s="875"/>
      <c r="AG206" s="838" t="s">
        <v>55</v>
      </c>
      <c r="AH206" s="838"/>
      <c r="AI206" s="838">
        <f>I206*3</f>
        <v>1800</v>
      </c>
      <c r="AJ206" s="838"/>
      <c r="AK206" s="838">
        <f>I206*3</f>
        <v>1800</v>
      </c>
      <c r="AN206" s="838"/>
      <c r="AO206" s="838"/>
      <c r="AQ206" s="838">
        <f>I206*3</f>
        <v>1800</v>
      </c>
      <c r="AR206" s="838"/>
      <c r="AS206" s="838"/>
      <c r="AT206" s="838"/>
      <c r="BP206" s="803">
        <f>I206</f>
        <v>600</v>
      </c>
      <c r="BQ206" s="803">
        <f>I206</f>
        <v>600</v>
      </c>
      <c r="BR206" s="803">
        <f>I206</f>
        <v>600</v>
      </c>
      <c r="BS206" s="888">
        <f t="shared" si="117"/>
        <v>1800</v>
      </c>
      <c r="BT206" s="889">
        <f t="shared" si="118"/>
        <v>2583052</v>
      </c>
      <c r="BU206" s="892"/>
      <c r="BV206" s="892"/>
      <c r="BW206" s="892"/>
      <c r="BX206" s="892"/>
      <c r="BY206" s="891">
        <f t="shared" si="108"/>
        <v>236948</v>
      </c>
      <c r="CA206" s="805">
        <f t="shared" si="119"/>
        <v>0</v>
      </c>
      <c r="CB206" s="888">
        <f t="shared" si="120"/>
        <v>50724.5714285714</v>
      </c>
      <c r="CC206" s="892"/>
      <c r="CD206" s="892"/>
      <c r="CE206" s="892"/>
      <c r="CF206" s="888">
        <f t="shared" si="109"/>
        <v>9275.4285714286</v>
      </c>
      <c r="CG206" s="892"/>
    </row>
    <row r="207" s="803" customFormat="1" ht="31" hidden="1" customHeight="1" spans="1:85">
      <c r="A207" s="834">
        <v>45861</v>
      </c>
      <c r="B207" s="835" t="s">
        <v>1797</v>
      </c>
      <c r="C207" s="839" t="s">
        <v>84</v>
      </c>
      <c r="D207" s="837">
        <v>4500174582</v>
      </c>
      <c r="E207" s="835">
        <v>1617044</v>
      </c>
      <c r="F207" s="837" t="s">
        <v>1889</v>
      </c>
      <c r="G207" s="838" t="s">
        <v>1147</v>
      </c>
      <c r="H207" s="838" t="s">
        <v>1148</v>
      </c>
      <c r="I207" s="838">
        <v>192</v>
      </c>
      <c r="J207" s="838">
        <v>0</v>
      </c>
      <c r="K207" s="838">
        <v>12</v>
      </c>
      <c r="L207" s="847">
        <f t="shared" si="110"/>
        <v>16</v>
      </c>
      <c r="M207" s="848">
        <v>45903</v>
      </c>
      <c r="N207" s="848">
        <f>M207-4</f>
        <v>45899</v>
      </c>
      <c r="O207" s="849"/>
      <c r="P207" s="850" t="s">
        <v>46</v>
      </c>
      <c r="Q207" s="838" t="s">
        <v>1886</v>
      </c>
      <c r="R207" s="862">
        <v>45876</v>
      </c>
      <c r="S207" s="838" t="s">
        <v>58</v>
      </c>
      <c r="T207" s="863">
        <v>45877</v>
      </c>
      <c r="U207" s="864" t="s">
        <v>1800</v>
      </c>
      <c r="V207" s="848" t="s">
        <v>1788</v>
      </c>
      <c r="W207" s="865">
        <v>2.4244</v>
      </c>
      <c r="X207" s="866">
        <f>I207*W207</f>
        <v>465.4848</v>
      </c>
      <c r="Y207" s="838" t="s">
        <v>1890</v>
      </c>
      <c r="Z207" s="838" t="s">
        <v>1884</v>
      </c>
      <c r="AA207" s="838" t="s">
        <v>53</v>
      </c>
      <c r="AB207" s="873" t="s">
        <v>54</v>
      </c>
      <c r="AC207" s="838"/>
      <c r="AD207" s="874">
        <v>192</v>
      </c>
      <c r="AE207" s="874">
        <f t="shared" si="112"/>
        <v>0</v>
      </c>
      <c r="AF207" s="875"/>
      <c r="AG207" s="838" t="s">
        <v>55</v>
      </c>
      <c r="AH207" s="838"/>
      <c r="AI207" s="838">
        <f>I207*2</f>
        <v>384</v>
      </c>
      <c r="AJ207" s="838"/>
      <c r="AK207" s="838">
        <f>I207*2</f>
        <v>384</v>
      </c>
      <c r="AN207" s="838"/>
      <c r="AO207" s="838"/>
      <c r="AQ207" s="838">
        <f>I207*2</f>
        <v>384</v>
      </c>
      <c r="AR207" s="838"/>
      <c r="AS207" s="838"/>
      <c r="AT207" s="838"/>
      <c r="BL207" s="803">
        <f>I207</f>
        <v>192</v>
      </c>
      <c r="BM207" s="803">
        <f>I207</f>
        <v>192</v>
      </c>
      <c r="BO207" s="803">
        <f>I207</f>
        <v>192</v>
      </c>
      <c r="BS207" s="888">
        <f t="shared" si="117"/>
        <v>384</v>
      </c>
      <c r="BT207" s="889">
        <f t="shared" si="118"/>
        <v>2583436</v>
      </c>
      <c r="BU207" s="892"/>
      <c r="BV207" s="892"/>
      <c r="BW207" s="892"/>
      <c r="BX207" s="892"/>
      <c r="BY207" s="891">
        <f t="shared" si="108"/>
        <v>236564</v>
      </c>
      <c r="CA207" s="805">
        <f t="shared" si="119"/>
        <v>0</v>
      </c>
      <c r="CB207" s="888">
        <f t="shared" si="120"/>
        <v>50724.5714285714</v>
      </c>
      <c r="CC207" s="892"/>
      <c r="CD207" s="892"/>
      <c r="CE207" s="892"/>
      <c r="CF207" s="888">
        <f t="shared" si="109"/>
        <v>9275.4285714286</v>
      </c>
      <c r="CG207" s="892"/>
    </row>
    <row r="208" s="803" customFormat="1" ht="31" hidden="1" customHeight="1" spans="1:85">
      <c r="A208" s="834">
        <v>45861</v>
      </c>
      <c r="B208" s="835" t="s">
        <v>1797</v>
      </c>
      <c r="C208" s="839" t="s">
        <v>84</v>
      </c>
      <c r="D208" s="837">
        <v>4500174585</v>
      </c>
      <c r="E208" s="835">
        <v>617043</v>
      </c>
      <c r="F208" s="837" t="s">
        <v>1891</v>
      </c>
      <c r="G208" s="838" t="s">
        <v>1147</v>
      </c>
      <c r="H208" s="838" t="s">
        <v>1148</v>
      </c>
      <c r="I208" s="838">
        <v>408</v>
      </c>
      <c r="J208" s="838">
        <v>0</v>
      </c>
      <c r="K208" s="838">
        <v>12</v>
      </c>
      <c r="L208" s="847">
        <f t="shared" si="110"/>
        <v>34</v>
      </c>
      <c r="M208" s="848">
        <v>45903</v>
      </c>
      <c r="N208" s="848">
        <f>M208-4</f>
        <v>45899</v>
      </c>
      <c r="O208" s="849"/>
      <c r="P208" s="850" t="s">
        <v>46</v>
      </c>
      <c r="Q208" s="838" t="s">
        <v>1886</v>
      </c>
      <c r="R208" s="862">
        <v>45876</v>
      </c>
      <c r="S208" s="838" t="s">
        <v>58</v>
      </c>
      <c r="T208" s="863">
        <v>45877</v>
      </c>
      <c r="U208" s="864" t="s">
        <v>1800</v>
      </c>
      <c r="V208" s="848" t="s">
        <v>1788</v>
      </c>
      <c r="W208" s="865">
        <v>2.4244</v>
      </c>
      <c r="X208" s="866">
        <f>I208*W208</f>
        <v>989.1552</v>
      </c>
      <c r="Y208" s="838" t="s">
        <v>1892</v>
      </c>
      <c r="Z208" s="838" t="s">
        <v>1884</v>
      </c>
      <c r="AA208" s="838" t="s">
        <v>53</v>
      </c>
      <c r="AB208" s="873" t="s">
        <v>54</v>
      </c>
      <c r="AC208" s="838"/>
      <c r="AD208" s="874">
        <v>408</v>
      </c>
      <c r="AE208" s="874">
        <f t="shared" si="112"/>
        <v>0</v>
      </c>
      <c r="AF208" s="875"/>
      <c r="AG208" s="838" t="s">
        <v>55</v>
      </c>
      <c r="AH208" s="838"/>
      <c r="AI208" s="838">
        <f>I208*2</f>
        <v>816</v>
      </c>
      <c r="AJ208" s="838"/>
      <c r="AK208" s="838">
        <f>I208*2</f>
        <v>816</v>
      </c>
      <c r="AN208" s="838"/>
      <c r="AO208" s="838"/>
      <c r="AQ208" s="838">
        <f>I208*3</f>
        <v>1224</v>
      </c>
      <c r="AR208" s="838"/>
      <c r="AS208" s="838"/>
      <c r="AT208" s="838"/>
      <c r="BL208" s="803">
        <f>I208</f>
        <v>408</v>
      </c>
      <c r="BM208" s="803">
        <f>I208</f>
        <v>408</v>
      </c>
      <c r="BO208" s="803">
        <f>I208</f>
        <v>408</v>
      </c>
      <c r="BS208" s="888">
        <f t="shared" si="117"/>
        <v>816</v>
      </c>
      <c r="BT208" s="889">
        <f t="shared" si="118"/>
        <v>2584252</v>
      </c>
      <c r="BU208" s="892"/>
      <c r="BV208" s="892"/>
      <c r="BW208" s="892"/>
      <c r="BX208" s="892"/>
      <c r="BY208" s="891">
        <f t="shared" si="108"/>
        <v>235748</v>
      </c>
      <c r="CA208" s="805">
        <f t="shared" si="119"/>
        <v>0</v>
      </c>
      <c r="CB208" s="888">
        <f t="shared" si="120"/>
        <v>50724.5714285714</v>
      </c>
      <c r="CC208" s="892"/>
      <c r="CD208" s="892"/>
      <c r="CE208" s="892"/>
      <c r="CF208" s="888">
        <f t="shared" si="109"/>
        <v>9275.4285714286</v>
      </c>
      <c r="CG208" s="892"/>
    </row>
    <row r="209" s="803" customFormat="1" ht="31" hidden="1" customHeight="1" spans="1:85">
      <c r="A209" s="834">
        <v>45863</v>
      </c>
      <c r="B209" s="835" t="s">
        <v>715</v>
      </c>
      <c r="C209" s="839" t="s">
        <v>716</v>
      </c>
      <c r="D209" s="837">
        <v>4500175043</v>
      </c>
      <c r="E209" s="835" t="s">
        <v>1893</v>
      </c>
      <c r="F209" s="837" t="s">
        <v>1894</v>
      </c>
      <c r="G209" s="838" t="s">
        <v>1147</v>
      </c>
      <c r="H209" s="838" t="s">
        <v>1148</v>
      </c>
      <c r="I209" s="838">
        <v>72</v>
      </c>
      <c r="J209" s="838">
        <v>0</v>
      </c>
      <c r="K209" s="838">
        <v>12</v>
      </c>
      <c r="L209" s="847">
        <f t="shared" si="110"/>
        <v>6</v>
      </c>
      <c r="M209" s="848">
        <v>45905</v>
      </c>
      <c r="N209" s="848">
        <v>45901</v>
      </c>
      <c r="O209" s="849"/>
      <c r="P209" s="850" t="s">
        <v>46</v>
      </c>
      <c r="Q209" s="838"/>
      <c r="R209" s="862">
        <v>45863</v>
      </c>
      <c r="S209" s="838" t="s">
        <v>48</v>
      </c>
      <c r="T209" s="863">
        <v>45887</v>
      </c>
      <c r="U209" s="864" t="s">
        <v>1895</v>
      </c>
      <c r="V209" s="848" t="s">
        <v>721</v>
      </c>
      <c r="W209" s="865">
        <v>4.0406</v>
      </c>
      <c r="X209" s="866">
        <f t="shared" ref="X209:X215" si="121">I209*W209</f>
        <v>290.9232</v>
      </c>
      <c r="Y209" s="838" t="s">
        <v>1896</v>
      </c>
      <c r="Z209" s="838" t="s">
        <v>1709</v>
      </c>
      <c r="AA209" s="838" t="s">
        <v>53</v>
      </c>
      <c r="AB209" s="873" t="s">
        <v>54</v>
      </c>
      <c r="AC209" s="838"/>
      <c r="AD209" s="874">
        <v>72</v>
      </c>
      <c r="AE209" s="874">
        <f t="shared" si="112"/>
        <v>0</v>
      </c>
      <c r="AF209" s="875"/>
      <c r="AG209" s="838" t="s">
        <v>55</v>
      </c>
      <c r="AH209" s="838"/>
      <c r="AI209" s="838"/>
      <c r="AJ209" s="838">
        <f t="shared" ref="AJ209:AJ215" si="122">I209</f>
        <v>72</v>
      </c>
      <c r="AK209" s="838"/>
      <c r="AM209" s="803">
        <f>I209*2</f>
        <v>144</v>
      </c>
      <c r="AN209" s="838"/>
      <c r="AO209" s="838"/>
      <c r="AQ209" s="838">
        <f t="shared" ref="AQ208:AQ215" si="123">I209*2</f>
        <v>144</v>
      </c>
      <c r="AR209" s="838"/>
      <c r="AS209" s="838"/>
      <c r="AT209" s="838"/>
      <c r="BL209" s="803">
        <f t="shared" ref="BL209:BL215" si="124">I209</f>
        <v>72</v>
      </c>
      <c r="BM209" s="803">
        <f t="shared" ref="BM209:BM215" si="125">I209</f>
        <v>72</v>
      </c>
      <c r="BO209" s="803">
        <f t="shared" ref="BO209:BO215" si="126">I209</f>
        <v>72</v>
      </c>
      <c r="BS209" s="888">
        <f t="shared" si="117"/>
        <v>72</v>
      </c>
      <c r="BT209" s="889">
        <f t="shared" si="118"/>
        <v>2584324</v>
      </c>
      <c r="BU209" s="892"/>
      <c r="BV209" s="892"/>
      <c r="BW209" s="892"/>
      <c r="BX209" s="892"/>
      <c r="BY209" s="891">
        <f t="shared" si="108"/>
        <v>235676</v>
      </c>
      <c r="CA209" s="805">
        <f t="shared" si="119"/>
        <v>0</v>
      </c>
      <c r="CB209" s="888">
        <f t="shared" si="120"/>
        <v>50724.5714285714</v>
      </c>
      <c r="CC209" s="892"/>
      <c r="CD209" s="892"/>
      <c r="CE209" s="892"/>
      <c r="CF209" s="888">
        <f t="shared" si="109"/>
        <v>9275.4285714286</v>
      </c>
      <c r="CG209" s="892"/>
    </row>
    <row r="210" s="803" customFormat="1" ht="31" hidden="1" customHeight="1" spans="1:85">
      <c r="A210" s="834">
        <v>45863</v>
      </c>
      <c r="B210" s="835" t="s">
        <v>715</v>
      </c>
      <c r="C210" s="839" t="s">
        <v>716</v>
      </c>
      <c r="D210" s="837">
        <v>4500175043</v>
      </c>
      <c r="E210" s="835" t="s">
        <v>1897</v>
      </c>
      <c r="F210" s="837" t="s">
        <v>1898</v>
      </c>
      <c r="G210" s="838" t="s">
        <v>1147</v>
      </c>
      <c r="H210" s="838" t="s">
        <v>1148</v>
      </c>
      <c r="I210" s="838">
        <v>96</v>
      </c>
      <c r="J210" s="838">
        <v>0</v>
      </c>
      <c r="K210" s="838">
        <v>12</v>
      </c>
      <c r="L210" s="847">
        <f t="shared" si="110"/>
        <v>8</v>
      </c>
      <c r="M210" s="848">
        <v>45905</v>
      </c>
      <c r="N210" s="848">
        <v>45901</v>
      </c>
      <c r="O210" s="849"/>
      <c r="P210" s="850" t="s">
        <v>46</v>
      </c>
      <c r="Q210" s="838"/>
      <c r="R210" s="862">
        <v>45863</v>
      </c>
      <c r="S210" s="838" t="s">
        <v>48</v>
      </c>
      <c r="T210" s="863">
        <v>45887</v>
      </c>
      <c r="U210" s="864" t="s">
        <v>1895</v>
      </c>
      <c r="V210" s="848" t="s">
        <v>721</v>
      </c>
      <c r="W210" s="865">
        <v>4.0406</v>
      </c>
      <c r="X210" s="866">
        <f t="shared" si="121"/>
        <v>387.8976</v>
      </c>
      <c r="Y210" s="838" t="s">
        <v>1896</v>
      </c>
      <c r="Z210" s="838" t="s">
        <v>1709</v>
      </c>
      <c r="AA210" s="838" t="s">
        <v>53</v>
      </c>
      <c r="AB210" s="873" t="s">
        <v>54</v>
      </c>
      <c r="AC210" s="838"/>
      <c r="AD210" s="874">
        <v>96</v>
      </c>
      <c r="AE210" s="874">
        <f t="shared" si="112"/>
        <v>0</v>
      </c>
      <c r="AF210" s="875"/>
      <c r="AG210" s="838" t="s">
        <v>55</v>
      </c>
      <c r="AH210" s="838"/>
      <c r="AI210" s="838"/>
      <c r="AJ210" s="838">
        <f t="shared" si="122"/>
        <v>96</v>
      </c>
      <c r="AK210" s="838"/>
      <c r="AM210" s="803">
        <f>I210*2</f>
        <v>192</v>
      </c>
      <c r="AN210" s="838"/>
      <c r="AO210" s="838"/>
      <c r="AQ210" s="838">
        <f t="shared" si="123"/>
        <v>192</v>
      </c>
      <c r="AR210" s="838"/>
      <c r="AS210" s="838"/>
      <c r="AT210" s="838"/>
      <c r="BL210" s="803">
        <f t="shared" si="124"/>
        <v>96</v>
      </c>
      <c r="BM210" s="803">
        <f t="shared" si="125"/>
        <v>96</v>
      </c>
      <c r="BO210" s="803">
        <f t="shared" si="126"/>
        <v>96</v>
      </c>
      <c r="BS210" s="888">
        <f t="shared" si="117"/>
        <v>96</v>
      </c>
      <c r="BT210" s="889">
        <f t="shared" si="118"/>
        <v>2584420</v>
      </c>
      <c r="BU210" s="892"/>
      <c r="BV210" s="892"/>
      <c r="BW210" s="892"/>
      <c r="BX210" s="892"/>
      <c r="BY210" s="891">
        <f t="shared" si="108"/>
        <v>235580</v>
      </c>
      <c r="CA210" s="805">
        <f t="shared" si="119"/>
        <v>0</v>
      </c>
      <c r="CB210" s="888">
        <f t="shared" si="120"/>
        <v>50724.5714285714</v>
      </c>
      <c r="CC210" s="892"/>
      <c r="CD210" s="892"/>
      <c r="CE210" s="892"/>
      <c r="CF210" s="888">
        <f t="shared" si="109"/>
        <v>9275.4285714286</v>
      </c>
      <c r="CG210" s="892"/>
    </row>
    <row r="211" s="803" customFormat="1" ht="31" hidden="1" customHeight="1" spans="1:85">
      <c r="A211" s="834">
        <v>45863</v>
      </c>
      <c r="B211" s="835" t="s">
        <v>715</v>
      </c>
      <c r="C211" s="839" t="s">
        <v>716</v>
      </c>
      <c r="D211" s="837">
        <v>4500175043</v>
      </c>
      <c r="E211" s="835" t="s">
        <v>1899</v>
      </c>
      <c r="F211" s="837" t="s">
        <v>1900</v>
      </c>
      <c r="G211" s="838" t="s">
        <v>1147</v>
      </c>
      <c r="H211" s="838" t="s">
        <v>1148</v>
      </c>
      <c r="I211" s="838">
        <v>60</v>
      </c>
      <c r="J211" s="838">
        <v>0</v>
      </c>
      <c r="K211" s="838">
        <v>12</v>
      </c>
      <c r="L211" s="847">
        <f t="shared" si="110"/>
        <v>5</v>
      </c>
      <c r="M211" s="848">
        <v>45905</v>
      </c>
      <c r="N211" s="848">
        <v>45901</v>
      </c>
      <c r="O211" s="849"/>
      <c r="P211" s="850" t="s">
        <v>46</v>
      </c>
      <c r="Q211" s="838"/>
      <c r="R211" s="862">
        <v>45863</v>
      </c>
      <c r="S211" s="838" t="s">
        <v>48</v>
      </c>
      <c r="T211" s="863">
        <v>45887</v>
      </c>
      <c r="U211" s="864" t="s">
        <v>1895</v>
      </c>
      <c r="V211" s="848" t="s">
        <v>721</v>
      </c>
      <c r="W211" s="865">
        <v>4.0406</v>
      </c>
      <c r="X211" s="866">
        <f t="shared" si="121"/>
        <v>242.436</v>
      </c>
      <c r="Y211" s="838" t="s">
        <v>1896</v>
      </c>
      <c r="Z211" s="838" t="s">
        <v>1709</v>
      </c>
      <c r="AA211" s="838" t="s">
        <v>53</v>
      </c>
      <c r="AB211" s="873" t="s">
        <v>54</v>
      </c>
      <c r="AC211" s="838"/>
      <c r="AD211" s="874">
        <v>60</v>
      </c>
      <c r="AE211" s="874">
        <f t="shared" si="112"/>
        <v>0</v>
      </c>
      <c r="AF211" s="875"/>
      <c r="AG211" s="838" t="s">
        <v>55</v>
      </c>
      <c r="AH211" s="838"/>
      <c r="AI211" s="838"/>
      <c r="AJ211" s="838">
        <f t="shared" si="122"/>
        <v>60</v>
      </c>
      <c r="AK211" s="838"/>
      <c r="AM211" s="803">
        <f t="shared" ref="AM210:AM215" si="127">I211*2</f>
        <v>120</v>
      </c>
      <c r="AN211" s="838"/>
      <c r="AO211" s="838"/>
      <c r="AQ211" s="838">
        <f t="shared" si="123"/>
        <v>120</v>
      </c>
      <c r="AR211" s="838"/>
      <c r="AS211" s="838"/>
      <c r="AT211" s="838"/>
      <c r="BL211" s="803">
        <f t="shared" si="124"/>
        <v>60</v>
      </c>
      <c r="BM211" s="803">
        <f t="shared" si="125"/>
        <v>60</v>
      </c>
      <c r="BO211" s="803">
        <f t="shared" si="126"/>
        <v>60</v>
      </c>
      <c r="BS211" s="888">
        <f t="shared" si="117"/>
        <v>60</v>
      </c>
      <c r="BT211" s="889">
        <f t="shared" si="118"/>
        <v>2584480</v>
      </c>
      <c r="BU211" s="892"/>
      <c r="BV211" s="892"/>
      <c r="BW211" s="892"/>
      <c r="BX211" s="892"/>
      <c r="BY211" s="891">
        <f t="shared" si="108"/>
        <v>235520</v>
      </c>
      <c r="CA211" s="805">
        <f t="shared" si="119"/>
        <v>0</v>
      </c>
      <c r="CB211" s="888">
        <f t="shared" si="120"/>
        <v>50724.5714285714</v>
      </c>
      <c r="CC211" s="892"/>
      <c r="CD211" s="892"/>
      <c r="CE211" s="892"/>
      <c r="CF211" s="888">
        <f t="shared" si="109"/>
        <v>9275.4285714286</v>
      </c>
      <c r="CG211" s="892"/>
    </row>
    <row r="212" s="803" customFormat="1" ht="31" hidden="1" customHeight="1" spans="1:85">
      <c r="A212" s="834">
        <v>45863</v>
      </c>
      <c r="B212" s="835" t="s">
        <v>715</v>
      </c>
      <c r="C212" s="839" t="s">
        <v>716</v>
      </c>
      <c r="D212" s="837">
        <v>4500175043</v>
      </c>
      <c r="E212" s="835" t="s">
        <v>1901</v>
      </c>
      <c r="F212" s="837" t="s">
        <v>1902</v>
      </c>
      <c r="G212" s="838" t="s">
        <v>1147</v>
      </c>
      <c r="H212" s="838" t="s">
        <v>1148</v>
      </c>
      <c r="I212" s="838">
        <v>24</v>
      </c>
      <c r="J212" s="838">
        <v>0</v>
      </c>
      <c r="K212" s="838">
        <v>12</v>
      </c>
      <c r="L212" s="847">
        <f t="shared" si="110"/>
        <v>2</v>
      </c>
      <c r="M212" s="848">
        <v>45905</v>
      </c>
      <c r="N212" s="848">
        <v>45901</v>
      </c>
      <c r="O212" s="849"/>
      <c r="P212" s="850" t="s">
        <v>46</v>
      </c>
      <c r="Q212" s="838"/>
      <c r="R212" s="862">
        <v>45863</v>
      </c>
      <c r="S212" s="838" t="s">
        <v>48</v>
      </c>
      <c r="T212" s="863">
        <v>45887</v>
      </c>
      <c r="U212" s="864" t="s">
        <v>1895</v>
      </c>
      <c r="V212" s="848" t="s">
        <v>721</v>
      </c>
      <c r="W212" s="865">
        <v>4.0406</v>
      </c>
      <c r="X212" s="866">
        <f t="shared" si="121"/>
        <v>96.9744</v>
      </c>
      <c r="Y212" s="838" t="s">
        <v>1896</v>
      </c>
      <c r="Z212" s="838" t="s">
        <v>1709</v>
      </c>
      <c r="AA212" s="838" t="s">
        <v>53</v>
      </c>
      <c r="AB212" s="873" t="s">
        <v>54</v>
      </c>
      <c r="AC212" s="838"/>
      <c r="AD212" s="874">
        <v>24</v>
      </c>
      <c r="AE212" s="874">
        <f t="shared" si="112"/>
        <v>0</v>
      </c>
      <c r="AF212" s="875"/>
      <c r="AG212" s="838" t="s">
        <v>55</v>
      </c>
      <c r="AH212" s="838"/>
      <c r="AI212" s="838"/>
      <c r="AJ212" s="838">
        <f t="shared" si="122"/>
        <v>24</v>
      </c>
      <c r="AK212" s="838"/>
      <c r="AM212" s="803">
        <f t="shared" si="127"/>
        <v>48</v>
      </c>
      <c r="AN212" s="838"/>
      <c r="AO212" s="838"/>
      <c r="AQ212" s="838">
        <f t="shared" si="123"/>
        <v>48</v>
      </c>
      <c r="AR212" s="838"/>
      <c r="AS212" s="838"/>
      <c r="AT212" s="838"/>
      <c r="BL212" s="803">
        <f t="shared" si="124"/>
        <v>24</v>
      </c>
      <c r="BM212" s="803">
        <f t="shared" si="125"/>
        <v>24</v>
      </c>
      <c r="BO212" s="803">
        <f t="shared" si="126"/>
        <v>24</v>
      </c>
      <c r="BS212" s="888">
        <f t="shared" si="117"/>
        <v>24</v>
      </c>
      <c r="BT212" s="889">
        <f t="shared" si="118"/>
        <v>2584504</v>
      </c>
      <c r="BU212" s="892"/>
      <c r="BV212" s="892"/>
      <c r="BW212" s="892"/>
      <c r="BX212" s="892"/>
      <c r="BY212" s="891">
        <f t="shared" si="108"/>
        <v>235496</v>
      </c>
      <c r="CA212" s="805">
        <f t="shared" si="119"/>
        <v>0</v>
      </c>
      <c r="CB212" s="888">
        <f t="shared" si="120"/>
        <v>50724.5714285714</v>
      </c>
      <c r="CC212" s="892"/>
      <c r="CD212" s="892"/>
      <c r="CE212" s="892"/>
      <c r="CF212" s="888">
        <f t="shared" si="109"/>
        <v>9275.4285714286</v>
      </c>
      <c r="CG212" s="892"/>
    </row>
    <row r="213" s="803" customFormat="1" ht="31" hidden="1" customHeight="1" spans="1:85">
      <c r="A213" s="834">
        <v>45863</v>
      </c>
      <c r="B213" s="835" t="s">
        <v>715</v>
      </c>
      <c r="C213" s="839" t="s">
        <v>716</v>
      </c>
      <c r="D213" s="837">
        <v>4500175043</v>
      </c>
      <c r="E213" s="835" t="s">
        <v>1903</v>
      </c>
      <c r="F213" s="837" t="s">
        <v>1904</v>
      </c>
      <c r="G213" s="838" t="s">
        <v>1147</v>
      </c>
      <c r="H213" s="838" t="s">
        <v>1148</v>
      </c>
      <c r="I213" s="838">
        <v>12</v>
      </c>
      <c r="J213" s="838">
        <v>0</v>
      </c>
      <c r="K213" s="838">
        <v>12</v>
      </c>
      <c r="L213" s="847">
        <f t="shared" si="110"/>
        <v>1</v>
      </c>
      <c r="M213" s="848">
        <v>45905</v>
      </c>
      <c r="N213" s="848">
        <v>45901</v>
      </c>
      <c r="O213" s="849"/>
      <c r="P213" s="850" t="s">
        <v>46</v>
      </c>
      <c r="Q213" s="838"/>
      <c r="R213" s="862">
        <v>45863</v>
      </c>
      <c r="S213" s="838" t="s">
        <v>48</v>
      </c>
      <c r="T213" s="863">
        <v>45887</v>
      </c>
      <c r="U213" s="864" t="s">
        <v>1895</v>
      </c>
      <c r="V213" s="848" t="s">
        <v>721</v>
      </c>
      <c r="W213" s="865">
        <v>4.0406</v>
      </c>
      <c r="X213" s="866">
        <f t="shared" si="121"/>
        <v>48.4872</v>
      </c>
      <c r="Y213" s="838" t="s">
        <v>1896</v>
      </c>
      <c r="Z213" s="838" t="s">
        <v>1709</v>
      </c>
      <c r="AA213" s="838" t="s">
        <v>53</v>
      </c>
      <c r="AB213" s="873" t="s">
        <v>54</v>
      </c>
      <c r="AC213" s="838"/>
      <c r="AD213" s="874">
        <v>12</v>
      </c>
      <c r="AE213" s="874">
        <f t="shared" si="112"/>
        <v>0</v>
      </c>
      <c r="AF213" s="875"/>
      <c r="AG213" s="838" t="s">
        <v>55</v>
      </c>
      <c r="AH213" s="838"/>
      <c r="AI213" s="838"/>
      <c r="AJ213" s="838">
        <f t="shared" si="122"/>
        <v>12</v>
      </c>
      <c r="AK213" s="838"/>
      <c r="AM213" s="803">
        <f t="shared" si="127"/>
        <v>24</v>
      </c>
      <c r="AN213" s="838"/>
      <c r="AO213" s="838"/>
      <c r="AQ213" s="838">
        <f t="shared" si="123"/>
        <v>24</v>
      </c>
      <c r="AR213" s="838"/>
      <c r="AS213" s="838"/>
      <c r="AT213" s="838"/>
      <c r="BL213" s="803">
        <f t="shared" si="124"/>
        <v>12</v>
      </c>
      <c r="BM213" s="803">
        <f t="shared" si="125"/>
        <v>12</v>
      </c>
      <c r="BO213" s="803">
        <f t="shared" si="126"/>
        <v>12</v>
      </c>
      <c r="BS213" s="888">
        <f t="shared" si="117"/>
        <v>12</v>
      </c>
      <c r="BT213" s="889">
        <f t="shared" si="118"/>
        <v>2584516</v>
      </c>
      <c r="BU213" s="892"/>
      <c r="BV213" s="892"/>
      <c r="BW213" s="892"/>
      <c r="BX213" s="892"/>
      <c r="BY213" s="891">
        <f t="shared" si="108"/>
        <v>235484</v>
      </c>
      <c r="CA213" s="805">
        <f t="shared" si="119"/>
        <v>0</v>
      </c>
      <c r="CB213" s="888">
        <f t="shared" si="120"/>
        <v>50724.5714285714</v>
      </c>
      <c r="CC213" s="892"/>
      <c r="CD213" s="892"/>
      <c r="CE213" s="892"/>
      <c r="CF213" s="888">
        <f t="shared" si="109"/>
        <v>9275.4285714286</v>
      </c>
      <c r="CG213" s="892"/>
    </row>
    <row r="214" s="803" customFormat="1" ht="31" hidden="1" customHeight="1" spans="1:85">
      <c r="A214" s="834">
        <v>45863</v>
      </c>
      <c r="B214" s="835" t="s">
        <v>715</v>
      </c>
      <c r="C214" s="839" t="s">
        <v>716</v>
      </c>
      <c r="D214" s="837">
        <v>4500175043</v>
      </c>
      <c r="E214" s="835" t="s">
        <v>1905</v>
      </c>
      <c r="F214" s="837" t="s">
        <v>1906</v>
      </c>
      <c r="G214" s="838" t="s">
        <v>1147</v>
      </c>
      <c r="H214" s="838" t="s">
        <v>1148</v>
      </c>
      <c r="I214" s="838">
        <v>36</v>
      </c>
      <c r="J214" s="838">
        <v>0</v>
      </c>
      <c r="K214" s="838">
        <v>12</v>
      </c>
      <c r="L214" s="847">
        <f t="shared" si="110"/>
        <v>3</v>
      </c>
      <c r="M214" s="848">
        <v>45905</v>
      </c>
      <c r="N214" s="848">
        <v>45901</v>
      </c>
      <c r="O214" s="849"/>
      <c r="P214" s="850" t="s">
        <v>46</v>
      </c>
      <c r="Q214" s="838"/>
      <c r="R214" s="862">
        <v>45863</v>
      </c>
      <c r="S214" s="838" t="s">
        <v>48</v>
      </c>
      <c r="T214" s="863">
        <v>45887</v>
      </c>
      <c r="U214" s="864" t="s">
        <v>1895</v>
      </c>
      <c r="V214" s="848" t="s">
        <v>721</v>
      </c>
      <c r="W214" s="865">
        <v>4.0406</v>
      </c>
      <c r="X214" s="866">
        <f t="shared" si="121"/>
        <v>145.4616</v>
      </c>
      <c r="Y214" s="838" t="s">
        <v>1896</v>
      </c>
      <c r="Z214" s="838" t="s">
        <v>1709</v>
      </c>
      <c r="AA214" s="838" t="s">
        <v>53</v>
      </c>
      <c r="AB214" s="873" t="s">
        <v>54</v>
      </c>
      <c r="AC214" s="838"/>
      <c r="AD214" s="874">
        <v>36</v>
      </c>
      <c r="AE214" s="874">
        <f t="shared" si="112"/>
        <v>0</v>
      </c>
      <c r="AF214" s="875"/>
      <c r="AG214" s="838" t="s">
        <v>55</v>
      </c>
      <c r="AH214" s="838"/>
      <c r="AI214" s="838"/>
      <c r="AJ214" s="838">
        <f t="shared" si="122"/>
        <v>36</v>
      </c>
      <c r="AK214" s="838"/>
      <c r="AM214" s="803">
        <f t="shared" si="127"/>
        <v>72</v>
      </c>
      <c r="AN214" s="838"/>
      <c r="AO214" s="838"/>
      <c r="AQ214" s="838">
        <f t="shared" si="123"/>
        <v>72</v>
      </c>
      <c r="AR214" s="838"/>
      <c r="AS214" s="838"/>
      <c r="AT214" s="838"/>
      <c r="BL214" s="803">
        <f t="shared" si="124"/>
        <v>36</v>
      </c>
      <c r="BM214" s="803">
        <f t="shared" si="125"/>
        <v>36</v>
      </c>
      <c r="BO214" s="803">
        <f t="shared" si="126"/>
        <v>36</v>
      </c>
      <c r="BS214" s="888">
        <f t="shared" si="117"/>
        <v>36</v>
      </c>
      <c r="BT214" s="889">
        <f t="shared" si="118"/>
        <v>2584552</v>
      </c>
      <c r="BU214" s="892"/>
      <c r="BV214" s="892"/>
      <c r="BW214" s="892"/>
      <c r="BX214" s="892"/>
      <c r="BY214" s="891">
        <f t="shared" si="108"/>
        <v>235448</v>
      </c>
      <c r="CA214" s="805">
        <f t="shared" si="119"/>
        <v>0</v>
      </c>
      <c r="CB214" s="888">
        <f t="shared" si="120"/>
        <v>50724.5714285714</v>
      </c>
      <c r="CC214" s="892"/>
      <c r="CD214" s="892"/>
      <c r="CE214" s="892"/>
      <c r="CF214" s="888">
        <f t="shared" si="109"/>
        <v>9275.4285714286</v>
      </c>
      <c r="CG214" s="892"/>
    </row>
    <row r="215" s="803" customFormat="1" ht="31" hidden="1" customHeight="1" spans="1:85">
      <c r="A215" s="834">
        <v>45863</v>
      </c>
      <c r="B215" s="835" t="s">
        <v>715</v>
      </c>
      <c r="C215" s="839" t="s">
        <v>716</v>
      </c>
      <c r="D215" s="837">
        <v>4500175043</v>
      </c>
      <c r="E215" s="835" t="s">
        <v>1907</v>
      </c>
      <c r="F215" s="837" t="s">
        <v>1908</v>
      </c>
      <c r="G215" s="838" t="s">
        <v>1147</v>
      </c>
      <c r="H215" s="838" t="s">
        <v>1148</v>
      </c>
      <c r="I215" s="838">
        <v>48</v>
      </c>
      <c r="J215" s="838">
        <v>0</v>
      </c>
      <c r="K215" s="838">
        <v>12</v>
      </c>
      <c r="L215" s="847">
        <f t="shared" si="110"/>
        <v>4</v>
      </c>
      <c r="M215" s="848">
        <v>45905</v>
      </c>
      <c r="N215" s="848">
        <v>45901</v>
      </c>
      <c r="O215" s="849"/>
      <c r="P215" s="850" t="s">
        <v>46</v>
      </c>
      <c r="Q215" s="838"/>
      <c r="R215" s="862">
        <v>45863</v>
      </c>
      <c r="S215" s="838" t="s">
        <v>48</v>
      </c>
      <c r="T215" s="863">
        <v>45887</v>
      </c>
      <c r="U215" s="864" t="s">
        <v>1895</v>
      </c>
      <c r="V215" s="848" t="s">
        <v>721</v>
      </c>
      <c r="W215" s="865">
        <v>4.0406</v>
      </c>
      <c r="X215" s="866">
        <f t="shared" si="121"/>
        <v>193.9488</v>
      </c>
      <c r="Y215" s="838" t="s">
        <v>1896</v>
      </c>
      <c r="Z215" s="838" t="s">
        <v>1709</v>
      </c>
      <c r="AA215" s="838" t="s">
        <v>53</v>
      </c>
      <c r="AB215" s="873" t="s">
        <v>54</v>
      </c>
      <c r="AC215" s="838"/>
      <c r="AD215" s="874">
        <v>48</v>
      </c>
      <c r="AE215" s="874">
        <f t="shared" si="112"/>
        <v>0</v>
      </c>
      <c r="AF215" s="875"/>
      <c r="AG215" s="838" t="s">
        <v>55</v>
      </c>
      <c r="AH215" s="838"/>
      <c r="AI215" s="838"/>
      <c r="AJ215" s="838">
        <f t="shared" si="122"/>
        <v>48</v>
      </c>
      <c r="AK215" s="838"/>
      <c r="AM215" s="803">
        <f t="shared" si="127"/>
        <v>96</v>
      </c>
      <c r="AN215" s="838"/>
      <c r="AO215" s="838"/>
      <c r="AQ215" s="838">
        <f t="shared" si="123"/>
        <v>96</v>
      </c>
      <c r="AR215" s="838"/>
      <c r="AS215" s="838"/>
      <c r="AT215" s="838"/>
      <c r="BL215" s="803">
        <f t="shared" si="124"/>
        <v>48</v>
      </c>
      <c r="BM215" s="803">
        <f t="shared" si="125"/>
        <v>48</v>
      </c>
      <c r="BO215" s="803">
        <f t="shared" si="126"/>
        <v>48</v>
      </c>
      <c r="BS215" s="888">
        <f t="shared" si="117"/>
        <v>48</v>
      </c>
      <c r="BT215" s="889">
        <f t="shared" si="118"/>
        <v>2584600</v>
      </c>
      <c r="BU215" s="892"/>
      <c r="BV215" s="892"/>
      <c r="BW215" s="892"/>
      <c r="BX215" s="892"/>
      <c r="BY215" s="891">
        <f t="shared" si="108"/>
        <v>235400</v>
      </c>
      <c r="CA215" s="805">
        <f t="shared" si="119"/>
        <v>0</v>
      </c>
      <c r="CB215" s="888">
        <f t="shared" si="120"/>
        <v>50724.5714285714</v>
      </c>
      <c r="CC215" s="892"/>
      <c r="CD215" s="892"/>
      <c r="CE215" s="892"/>
      <c r="CF215" s="888">
        <f t="shared" si="109"/>
        <v>9275.4285714286</v>
      </c>
      <c r="CG215" s="892"/>
    </row>
    <row r="216" s="804" customFormat="1" ht="32" hidden="1" customHeight="1" spans="1:85">
      <c r="A216" s="903">
        <v>45875</v>
      </c>
      <c r="B216" s="904" t="s">
        <v>199</v>
      </c>
      <c r="C216" s="905" t="s">
        <v>84</v>
      </c>
      <c r="D216" s="906">
        <v>4500175910</v>
      </c>
      <c r="E216" s="1295" t="s">
        <v>1909</v>
      </c>
      <c r="F216" s="907" t="s">
        <v>1910</v>
      </c>
      <c r="G216" s="908" t="s">
        <v>1189</v>
      </c>
      <c r="H216" s="908" t="s">
        <v>1140</v>
      </c>
      <c r="I216" s="908">
        <v>1152</v>
      </c>
      <c r="J216" s="908">
        <v>0</v>
      </c>
      <c r="K216" s="908">
        <v>1152</v>
      </c>
      <c r="L216" s="927">
        <f t="shared" si="110"/>
        <v>1</v>
      </c>
      <c r="M216" s="928">
        <v>45903</v>
      </c>
      <c r="N216" s="928">
        <f>M216-4</f>
        <v>45899</v>
      </c>
      <c r="O216" s="929" t="s">
        <v>1911</v>
      </c>
      <c r="P216" s="930" t="s">
        <v>46</v>
      </c>
      <c r="Q216" s="908" t="s">
        <v>1912</v>
      </c>
      <c r="R216" s="941" t="s">
        <v>251</v>
      </c>
      <c r="S216" s="908" t="s">
        <v>58</v>
      </c>
      <c r="T216" s="942">
        <v>45880</v>
      </c>
      <c r="U216" s="943" t="s">
        <v>1913</v>
      </c>
      <c r="V216" s="928" t="s">
        <v>207</v>
      </c>
      <c r="W216" s="943">
        <v>1312.51</v>
      </c>
      <c r="X216" s="944">
        <f t="shared" ref="X216:X222" si="128">W216*L216</f>
        <v>1312.51</v>
      </c>
      <c r="Y216" s="908" t="s">
        <v>1914</v>
      </c>
      <c r="Z216" s="908" t="s">
        <v>1189</v>
      </c>
      <c r="AA216" s="908" t="s">
        <v>53</v>
      </c>
      <c r="AB216" s="958" t="s">
        <v>54</v>
      </c>
      <c r="AC216" s="908"/>
      <c r="AD216" s="908">
        <v>1152</v>
      </c>
      <c r="AE216" s="959">
        <f t="shared" si="112"/>
        <v>0</v>
      </c>
      <c r="AF216" s="960"/>
      <c r="AG216" s="908" t="s">
        <v>1915</v>
      </c>
      <c r="AH216" s="908"/>
      <c r="AI216" s="908">
        <f t="shared" ref="AI216:AI222" si="129">I216</f>
        <v>1152</v>
      </c>
      <c r="AJ216" s="908"/>
      <c r="AK216" s="908">
        <f t="shared" ref="AK216:AK222" si="130">I216</f>
        <v>1152</v>
      </c>
      <c r="AN216" s="908"/>
      <c r="AO216" s="908"/>
      <c r="AP216" s="971"/>
      <c r="AQ216" s="908"/>
      <c r="AR216" s="908"/>
      <c r="AS216" s="908">
        <f>I216</f>
        <v>1152</v>
      </c>
      <c r="AT216" s="908"/>
      <c r="AX216" s="804">
        <f t="shared" ref="AX216:AX222" si="131">I216/12</f>
        <v>96</v>
      </c>
      <c r="BC216" s="969"/>
      <c r="BS216" s="888">
        <f t="shared" si="117"/>
        <v>1152</v>
      </c>
      <c r="BT216" s="889">
        <f t="shared" si="118"/>
        <v>2585752</v>
      </c>
      <c r="BU216" s="975"/>
      <c r="BV216" s="975"/>
      <c r="BW216" s="975"/>
      <c r="BX216" s="975"/>
      <c r="BY216" s="891">
        <f t="shared" si="108"/>
        <v>234248</v>
      </c>
      <c r="CA216" s="805">
        <f t="shared" si="119"/>
        <v>0</v>
      </c>
      <c r="CB216" s="888">
        <f t="shared" si="120"/>
        <v>50724.5714285714</v>
      </c>
      <c r="CC216" s="975"/>
      <c r="CD216" s="975"/>
      <c r="CE216" s="975"/>
      <c r="CF216" s="888">
        <f t="shared" si="109"/>
        <v>9275.4285714286</v>
      </c>
      <c r="CG216" s="975"/>
    </row>
    <row r="217" s="804" customFormat="1" ht="32" hidden="1" customHeight="1" spans="1:85">
      <c r="A217" s="903">
        <v>45875</v>
      </c>
      <c r="B217" s="904" t="s">
        <v>199</v>
      </c>
      <c r="C217" s="905" t="s">
        <v>84</v>
      </c>
      <c r="D217" s="906">
        <v>4500175910</v>
      </c>
      <c r="E217" s="1295" t="s">
        <v>1916</v>
      </c>
      <c r="F217" s="907" t="s">
        <v>1917</v>
      </c>
      <c r="G217" s="908" t="s">
        <v>1189</v>
      </c>
      <c r="H217" s="908" t="s">
        <v>1140</v>
      </c>
      <c r="I217" s="908">
        <v>1152</v>
      </c>
      <c r="J217" s="908">
        <v>0</v>
      </c>
      <c r="K217" s="908">
        <v>1152</v>
      </c>
      <c r="L217" s="927">
        <f t="shared" si="110"/>
        <v>1</v>
      </c>
      <c r="M217" s="928">
        <v>45903</v>
      </c>
      <c r="N217" s="928">
        <f>M217-4</f>
        <v>45899</v>
      </c>
      <c r="O217" s="929" t="s">
        <v>1911</v>
      </c>
      <c r="P217" s="930" t="s">
        <v>46</v>
      </c>
      <c r="Q217" s="908" t="s">
        <v>1912</v>
      </c>
      <c r="R217" s="941" t="s">
        <v>251</v>
      </c>
      <c r="S217" s="908" t="s">
        <v>58</v>
      </c>
      <c r="T217" s="942">
        <v>45880</v>
      </c>
      <c r="U217" s="943" t="s">
        <v>1913</v>
      </c>
      <c r="V217" s="928" t="s">
        <v>207</v>
      </c>
      <c r="W217" s="943">
        <v>1312.51</v>
      </c>
      <c r="X217" s="944">
        <f t="shared" si="128"/>
        <v>1312.51</v>
      </c>
      <c r="Y217" s="908" t="s">
        <v>1918</v>
      </c>
      <c r="Z217" s="908" t="s">
        <v>1189</v>
      </c>
      <c r="AA217" s="908" t="s">
        <v>53</v>
      </c>
      <c r="AB217" s="958" t="s">
        <v>54</v>
      </c>
      <c r="AC217" s="908"/>
      <c r="AD217" s="908">
        <v>1152</v>
      </c>
      <c r="AE217" s="959">
        <f t="shared" si="112"/>
        <v>0</v>
      </c>
      <c r="AF217" s="960"/>
      <c r="AG217" s="908" t="s">
        <v>1915</v>
      </c>
      <c r="AH217" s="908"/>
      <c r="AI217" s="908">
        <f t="shared" si="129"/>
        <v>1152</v>
      </c>
      <c r="AJ217" s="908"/>
      <c r="AK217" s="908">
        <f t="shared" si="130"/>
        <v>1152</v>
      </c>
      <c r="AN217" s="908"/>
      <c r="AO217" s="908"/>
      <c r="AP217" s="971"/>
      <c r="AQ217" s="908"/>
      <c r="AR217" s="908"/>
      <c r="AS217" s="908">
        <f>I217</f>
        <v>1152</v>
      </c>
      <c r="AT217" s="908"/>
      <c r="AX217" s="804">
        <f t="shared" si="131"/>
        <v>96</v>
      </c>
      <c r="BC217" s="969"/>
      <c r="BS217" s="888">
        <f t="shared" si="117"/>
        <v>1152</v>
      </c>
      <c r="BT217" s="889">
        <f t="shared" si="118"/>
        <v>2586904</v>
      </c>
      <c r="BU217" s="975"/>
      <c r="BV217" s="975"/>
      <c r="BW217" s="975"/>
      <c r="BX217" s="975"/>
      <c r="BY217" s="891">
        <f t="shared" si="108"/>
        <v>233096</v>
      </c>
      <c r="CA217" s="805">
        <f t="shared" si="119"/>
        <v>0</v>
      </c>
      <c r="CB217" s="888">
        <f t="shared" si="120"/>
        <v>50724.5714285714</v>
      </c>
      <c r="CC217" s="975"/>
      <c r="CD217" s="975"/>
      <c r="CE217" s="975"/>
      <c r="CF217" s="888">
        <f t="shared" si="109"/>
        <v>9275.4285714286</v>
      </c>
      <c r="CG217" s="975"/>
    </row>
    <row r="218" s="804" customFormat="1" ht="32" hidden="1" customHeight="1" spans="1:85">
      <c r="A218" s="903">
        <v>45875</v>
      </c>
      <c r="B218" s="904" t="s">
        <v>199</v>
      </c>
      <c r="C218" s="905" t="s">
        <v>84</v>
      </c>
      <c r="D218" s="906">
        <v>4500175910</v>
      </c>
      <c r="E218" s="1295" t="s">
        <v>1919</v>
      </c>
      <c r="F218" s="907" t="s">
        <v>1920</v>
      </c>
      <c r="G218" s="908" t="s">
        <v>1189</v>
      </c>
      <c r="H218" s="908" t="s">
        <v>1140</v>
      </c>
      <c r="I218" s="908">
        <v>1152</v>
      </c>
      <c r="J218" s="908">
        <v>0</v>
      </c>
      <c r="K218" s="908">
        <v>1152</v>
      </c>
      <c r="L218" s="927">
        <f t="shared" si="110"/>
        <v>1</v>
      </c>
      <c r="M218" s="928">
        <v>45903</v>
      </c>
      <c r="N218" s="928">
        <f>M218-4</f>
        <v>45899</v>
      </c>
      <c r="O218" s="929" t="s">
        <v>1911</v>
      </c>
      <c r="P218" s="930" t="s">
        <v>46</v>
      </c>
      <c r="Q218" s="908" t="s">
        <v>1912</v>
      </c>
      <c r="R218" s="941" t="s">
        <v>251</v>
      </c>
      <c r="S218" s="908" t="s">
        <v>58</v>
      </c>
      <c r="T218" s="942">
        <v>45880</v>
      </c>
      <c r="U218" s="943" t="s">
        <v>1913</v>
      </c>
      <c r="V218" s="928" t="s">
        <v>207</v>
      </c>
      <c r="W218" s="943">
        <v>1312.51</v>
      </c>
      <c r="X218" s="944">
        <f t="shared" si="128"/>
        <v>1312.51</v>
      </c>
      <c r="Y218" s="908" t="s">
        <v>1921</v>
      </c>
      <c r="Z218" s="908" t="s">
        <v>1189</v>
      </c>
      <c r="AA218" s="908" t="s">
        <v>53</v>
      </c>
      <c r="AB218" s="958" t="s">
        <v>54</v>
      </c>
      <c r="AC218" s="908"/>
      <c r="AD218" s="908">
        <v>1152</v>
      </c>
      <c r="AE218" s="959">
        <f t="shared" si="112"/>
        <v>0</v>
      </c>
      <c r="AF218" s="960"/>
      <c r="AG218" s="908" t="s">
        <v>1915</v>
      </c>
      <c r="AH218" s="908"/>
      <c r="AI218" s="908">
        <f t="shared" si="129"/>
        <v>1152</v>
      </c>
      <c r="AJ218" s="908"/>
      <c r="AK218" s="908">
        <f t="shared" si="130"/>
        <v>1152</v>
      </c>
      <c r="AN218" s="908"/>
      <c r="AO218" s="908"/>
      <c r="AP218" s="971"/>
      <c r="AQ218" s="908"/>
      <c r="AR218" s="908"/>
      <c r="AS218" s="908">
        <f>I218</f>
        <v>1152</v>
      </c>
      <c r="AT218" s="908"/>
      <c r="AX218" s="804">
        <f t="shared" si="131"/>
        <v>96</v>
      </c>
      <c r="BC218" s="969"/>
      <c r="BS218" s="888">
        <f t="shared" si="117"/>
        <v>1152</v>
      </c>
      <c r="BT218" s="889">
        <f t="shared" si="118"/>
        <v>2588056</v>
      </c>
      <c r="BU218" s="975"/>
      <c r="BV218" s="975"/>
      <c r="BW218" s="975"/>
      <c r="BX218" s="975"/>
      <c r="BY218" s="891">
        <f t="shared" si="108"/>
        <v>231944</v>
      </c>
      <c r="CA218" s="805">
        <f t="shared" si="119"/>
        <v>0</v>
      </c>
      <c r="CB218" s="888">
        <f t="shared" si="120"/>
        <v>50724.5714285714</v>
      </c>
      <c r="CC218" s="975"/>
      <c r="CD218" s="975"/>
      <c r="CE218" s="975"/>
      <c r="CF218" s="888">
        <f t="shared" si="109"/>
        <v>9275.4285714286</v>
      </c>
      <c r="CG218" s="975"/>
    </row>
    <row r="219" s="804" customFormat="1" ht="32" hidden="1" customHeight="1" spans="1:85">
      <c r="A219" s="903">
        <v>45884</v>
      </c>
      <c r="B219" s="904" t="s">
        <v>199</v>
      </c>
      <c r="C219" s="905" t="s">
        <v>84</v>
      </c>
      <c r="D219" s="906">
        <v>4500176989</v>
      </c>
      <c r="E219" s="1295" t="s">
        <v>1922</v>
      </c>
      <c r="F219" s="906" t="s">
        <v>1923</v>
      </c>
      <c r="G219" s="908" t="s">
        <v>1189</v>
      </c>
      <c r="H219" s="908" t="s">
        <v>1140</v>
      </c>
      <c r="I219" s="908">
        <v>1152</v>
      </c>
      <c r="J219" s="908">
        <v>0</v>
      </c>
      <c r="K219" s="908">
        <v>1152</v>
      </c>
      <c r="L219" s="927">
        <f t="shared" si="110"/>
        <v>1</v>
      </c>
      <c r="M219" s="928">
        <v>45911</v>
      </c>
      <c r="N219" s="928">
        <v>45908</v>
      </c>
      <c r="O219" s="930" t="s">
        <v>1924</v>
      </c>
      <c r="P219" s="930" t="s">
        <v>46</v>
      </c>
      <c r="Q219" s="908"/>
      <c r="R219" s="941" t="s">
        <v>251</v>
      </c>
      <c r="S219" s="908" t="s">
        <v>58</v>
      </c>
      <c r="T219" s="942">
        <v>45894</v>
      </c>
      <c r="U219" s="943" t="s">
        <v>1925</v>
      </c>
      <c r="V219" s="928" t="s">
        <v>207</v>
      </c>
      <c r="W219" s="943">
        <v>1308.57</v>
      </c>
      <c r="X219" s="944">
        <f t="shared" si="128"/>
        <v>1308.57</v>
      </c>
      <c r="Y219" s="908" t="s">
        <v>1926</v>
      </c>
      <c r="Z219" s="908" t="s">
        <v>1927</v>
      </c>
      <c r="AA219" s="908" t="s">
        <v>53</v>
      </c>
      <c r="AB219" s="958" t="s">
        <v>54</v>
      </c>
      <c r="AC219" s="908"/>
      <c r="AD219" s="908">
        <v>1152</v>
      </c>
      <c r="AE219" s="959">
        <f t="shared" si="112"/>
        <v>0</v>
      </c>
      <c r="AF219" s="960"/>
      <c r="AG219" s="908" t="s">
        <v>1928</v>
      </c>
      <c r="AH219" s="908"/>
      <c r="AI219" s="908">
        <f t="shared" si="129"/>
        <v>1152</v>
      </c>
      <c r="AJ219" s="908"/>
      <c r="AK219" s="908">
        <f t="shared" si="130"/>
        <v>1152</v>
      </c>
      <c r="AN219" s="908"/>
      <c r="AO219" s="908"/>
      <c r="AP219" s="971"/>
      <c r="AQ219" s="908">
        <f>I219</f>
        <v>1152</v>
      </c>
      <c r="AR219" s="908"/>
      <c r="AS219" s="908"/>
      <c r="AT219" s="908"/>
      <c r="AX219" s="804">
        <f t="shared" si="131"/>
        <v>96</v>
      </c>
      <c r="BC219" s="969"/>
      <c r="BS219" s="888">
        <f t="shared" si="117"/>
        <v>1152</v>
      </c>
      <c r="BT219" s="889">
        <f t="shared" si="118"/>
        <v>2589208</v>
      </c>
      <c r="BU219" s="975"/>
      <c r="BV219" s="975"/>
      <c r="BW219" s="975"/>
      <c r="BX219" s="975"/>
      <c r="BY219" s="891">
        <f t="shared" si="108"/>
        <v>230792</v>
      </c>
      <c r="CA219" s="805">
        <f t="shared" si="119"/>
        <v>0</v>
      </c>
      <c r="CB219" s="888">
        <f t="shared" si="120"/>
        <v>50724.5714285714</v>
      </c>
      <c r="CC219" s="975"/>
      <c r="CD219" s="975"/>
      <c r="CE219" s="975"/>
      <c r="CF219" s="888">
        <f t="shared" si="109"/>
        <v>9275.4285714286</v>
      </c>
      <c r="CG219" s="975"/>
    </row>
    <row r="220" s="804" customFormat="1" ht="32" hidden="1" customHeight="1" spans="1:85">
      <c r="A220" s="903">
        <v>45884</v>
      </c>
      <c r="B220" s="904" t="s">
        <v>199</v>
      </c>
      <c r="C220" s="905" t="s">
        <v>84</v>
      </c>
      <c r="D220" s="906">
        <v>4500176989</v>
      </c>
      <c r="E220" s="1295" t="s">
        <v>1929</v>
      </c>
      <c r="F220" s="906" t="s">
        <v>1930</v>
      </c>
      <c r="G220" s="908" t="s">
        <v>1189</v>
      </c>
      <c r="H220" s="908" t="s">
        <v>1140</v>
      </c>
      <c r="I220" s="908">
        <v>1152</v>
      </c>
      <c r="J220" s="908">
        <v>0</v>
      </c>
      <c r="K220" s="908">
        <v>1152</v>
      </c>
      <c r="L220" s="927">
        <f t="shared" si="110"/>
        <v>1</v>
      </c>
      <c r="M220" s="928">
        <v>45911</v>
      </c>
      <c r="N220" s="928">
        <v>45908</v>
      </c>
      <c r="O220" s="930" t="s">
        <v>1924</v>
      </c>
      <c r="P220" s="930" t="s">
        <v>46</v>
      </c>
      <c r="Q220" s="908"/>
      <c r="R220" s="941" t="s">
        <v>251</v>
      </c>
      <c r="S220" s="908" t="s">
        <v>58</v>
      </c>
      <c r="T220" s="942">
        <v>45894</v>
      </c>
      <c r="U220" s="943" t="s">
        <v>1925</v>
      </c>
      <c r="V220" s="928" t="s">
        <v>207</v>
      </c>
      <c r="W220" s="943">
        <v>1308.57</v>
      </c>
      <c r="X220" s="944">
        <f t="shared" si="128"/>
        <v>1308.57</v>
      </c>
      <c r="Y220" s="908" t="s">
        <v>1931</v>
      </c>
      <c r="Z220" s="908" t="s">
        <v>1927</v>
      </c>
      <c r="AA220" s="908" t="s">
        <v>53</v>
      </c>
      <c r="AB220" s="958" t="s">
        <v>54</v>
      </c>
      <c r="AC220" s="908"/>
      <c r="AD220" s="908">
        <v>1152</v>
      </c>
      <c r="AE220" s="959">
        <f t="shared" si="112"/>
        <v>0</v>
      </c>
      <c r="AF220" s="960"/>
      <c r="AG220" s="908" t="s">
        <v>1928</v>
      </c>
      <c r="AH220" s="908"/>
      <c r="AI220" s="908">
        <f t="shared" si="129"/>
        <v>1152</v>
      </c>
      <c r="AJ220" s="908"/>
      <c r="AK220" s="908">
        <f t="shared" si="130"/>
        <v>1152</v>
      </c>
      <c r="AN220" s="908"/>
      <c r="AO220" s="908"/>
      <c r="AP220" s="971"/>
      <c r="AQ220" s="908">
        <f>I220</f>
        <v>1152</v>
      </c>
      <c r="AR220" s="908"/>
      <c r="AS220" s="908"/>
      <c r="AT220" s="908"/>
      <c r="AX220" s="804">
        <f t="shared" si="131"/>
        <v>96</v>
      </c>
      <c r="BC220" s="969"/>
      <c r="BS220" s="888">
        <f t="shared" si="117"/>
        <v>1152</v>
      </c>
      <c r="BT220" s="889">
        <f t="shared" si="118"/>
        <v>2590360</v>
      </c>
      <c r="BU220" s="975"/>
      <c r="BV220" s="975"/>
      <c r="BW220" s="975"/>
      <c r="BX220" s="975"/>
      <c r="BY220" s="891">
        <f t="shared" si="108"/>
        <v>229640</v>
      </c>
      <c r="CA220" s="805">
        <f t="shared" si="119"/>
        <v>0</v>
      </c>
      <c r="CB220" s="888">
        <f t="shared" si="120"/>
        <v>50724.5714285714</v>
      </c>
      <c r="CC220" s="975"/>
      <c r="CD220" s="975"/>
      <c r="CE220" s="975"/>
      <c r="CF220" s="888">
        <f t="shared" si="109"/>
        <v>9275.4285714286</v>
      </c>
      <c r="CG220" s="975"/>
    </row>
    <row r="221" s="804" customFormat="1" ht="32" hidden="1" customHeight="1" spans="1:85">
      <c r="A221" s="903">
        <v>45884</v>
      </c>
      <c r="B221" s="904" t="s">
        <v>199</v>
      </c>
      <c r="C221" s="905" t="s">
        <v>84</v>
      </c>
      <c r="D221" s="906">
        <v>4500176989</v>
      </c>
      <c r="E221" s="1295" t="s">
        <v>1932</v>
      </c>
      <c r="F221" s="906" t="s">
        <v>1933</v>
      </c>
      <c r="G221" s="908" t="s">
        <v>1189</v>
      </c>
      <c r="H221" s="908" t="s">
        <v>1140</v>
      </c>
      <c r="I221" s="908">
        <v>1152</v>
      </c>
      <c r="J221" s="908">
        <v>0</v>
      </c>
      <c r="K221" s="908">
        <v>1152</v>
      </c>
      <c r="L221" s="927">
        <f t="shared" si="110"/>
        <v>1</v>
      </c>
      <c r="M221" s="928">
        <v>45911</v>
      </c>
      <c r="N221" s="928">
        <v>45908</v>
      </c>
      <c r="O221" s="930" t="s">
        <v>1924</v>
      </c>
      <c r="P221" s="930" t="s">
        <v>46</v>
      </c>
      <c r="Q221" s="908"/>
      <c r="R221" s="941" t="s">
        <v>251</v>
      </c>
      <c r="S221" s="908" t="s">
        <v>58</v>
      </c>
      <c r="T221" s="942">
        <v>45894</v>
      </c>
      <c r="U221" s="943" t="s">
        <v>1925</v>
      </c>
      <c r="V221" s="928" t="s">
        <v>207</v>
      </c>
      <c r="W221" s="943">
        <v>1308.57</v>
      </c>
      <c r="X221" s="944">
        <f t="shared" si="128"/>
        <v>1308.57</v>
      </c>
      <c r="Y221" s="908" t="s">
        <v>1934</v>
      </c>
      <c r="Z221" s="908" t="s">
        <v>1927</v>
      </c>
      <c r="AA221" s="908" t="s">
        <v>53</v>
      </c>
      <c r="AB221" s="958" t="s">
        <v>54</v>
      </c>
      <c r="AC221" s="908"/>
      <c r="AD221" s="908">
        <v>1152</v>
      </c>
      <c r="AE221" s="959">
        <f t="shared" si="112"/>
        <v>0</v>
      </c>
      <c r="AF221" s="960"/>
      <c r="AG221" s="908" t="s">
        <v>1928</v>
      </c>
      <c r="AH221" s="908"/>
      <c r="AI221" s="908">
        <f t="shared" si="129"/>
        <v>1152</v>
      </c>
      <c r="AJ221" s="908"/>
      <c r="AK221" s="908">
        <f t="shared" si="130"/>
        <v>1152</v>
      </c>
      <c r="AN221" s="908"/>
      <c r="AO221" s="908"/>
      <c r="AP221" s="971"/>
      <c r="AQ221" s="908">
        <f>I221</f>
        <v>1152</v>
      </c>
      <c r="AR221" s="908"/>
      <c r="AS221" s="908"/>
      <c r="AT221" s="908"/>
      <c r="AX221" s="804">
        <f t="shared" si="131"/>
        <v>96</v>
      </c>
      <c r="BC221" s="969"/>
      <c r="BS221" s="888">
        <f t="shared" si="117"/>
        <v>1152</v>
      </c>
      <c r="BT221" s="889">
        <f t="shared" si="118"/>
        <v>2591512</v>
      </c>
      <c r="BU221" s="975"/>
      <c r="BV221" s="975"/>
      <c r="BW221" s="975"/>
      <c r="BX221" s="975"/>
      <c r="BY221" s="891">
        <f t="shared" si="108"/>
        <v>228488</v>
      </c>
      <c r="CA221" s="805">
        <f t="shared" si="119"/>
        <v>0</v>
      </c>
      <c r="CB221" s="888">
        <f t="shared" si="120"/>
        <v>50724.5714285714</v>
      </c>
      <c r="CC221" s="975"/>
      <c r="CD221" s="975"/>
      <c r="CE221" s="975"/>
      <c r="CF221" s="888">
        <f t="shared" si="109"/>
        <v>9275.4285714286</v>
      </c>
      <c r="CG221" s="975"/>
    </row>
    <row r="222" s="804" customFormat="1" ht="32" hidden="1" customHeight="1" spans="1:85">
      <c r="A222" s="903">
        <v>45884</v>
      </c>
      <c r="B222" s="904" t="s">
        <v>199</v>
      </c>
      <c r="C222" s="905" t="s">
        <v>84</v>
      </c>
      <c r="D222" s="906">
        <v>4500176989</v>
      </c>
      <c r="E222" s="1295" t="s">
        <v>1935</v>
      </c>
      <c r="F222" s="906" t="s">
        <v>1936</v>
      </c>
      <c r="G222" s="908" t="s">
        <v>1189</v>
      </c>
      <c r="H222" s="908" t="s">
        <v>1140</v>
      </c>
      <c r="I222" s="908">
        <v>1152</v>
      </c>
      <c r="J222" s="908">
        <v>0</v>
      </c>
      <c r="K222" s="908">
        <v>1152</v>
      </c>
      <c r="L222" s="927">
        <f t="shared" si="110"/>
        <v>1</v>
      </c>
      <c r="M222" s="928">
        <v>45911</v>
      </c>
      <c r="N222" s="928">
        <v>45908</v>
      </c>
      <c r="O222" s="930" t="s">
        <v>1924</v>
      </c>
      <c r="P222" s="930" t="s">
        <v>46</v>
      </c>
      <c r="Q222" s="908"/>
      <c r="R222" s="941" t="s">
        <v>251</v>
      </c>
      <c r="S222" s="908" t="s">
        <v>58</v>
      </c>
      <c r="T222" s="942">
        <v>45894</v>
      </c>
      <c r="U222" s="943" t="s">
        <v>1925</v>
      </c>
      <c r="V222" s="928" t="s">
        <v>207</v>
      </c>
      <c r="W222" s="943">
        <v>1308.57</v>
      </c>
      <c r="X222" s="944">
        <f t="shared" si="128"/>
        <v>1308.57</v>
      </c>
      <c r="Y222" s="908" t="s">
        <v>1937</v>
      </c>
      <c r="Z222" s="908" t="s">
        <v>1927</v>
      </c>
      <c r="AA222" s="908" t="s">
        <v>53</v>
      </c>
      <c r="AB222" s="958" t="s">
        <v>54</v>
      </c>
      <c r="AC222" s="908"/>
      <c r="AD222" s="908">
        <v>1152</v>
      </c>
      <c r="AE222" s="959">
        <f t="shared" si="112"/>
        <v>0</v>
      </c>
      <c r="AF222" s="960"/>
      <c r="AG222" s="908" t="s">
        <v>1928</v>
      </c>
      <c r="AH222" s="908"/>
      <c r="AI222" s="908">
        <f t="shared" si="129"/>
        <v>1152</v>
      </c>
      <c r="AJ222" s="908"/>
      <c r="AK222" s="908">
        <f t="shared" si="130"/>
        <v>1152</v>
      </c>
      <c r="AN222" s="908"/>
      <c r="AO222" s="908"/>
      <c r="AP222" s="971"/>
      <c r="AQ222" s="908">
        <f>I222</f>
        <v>1152</v>
      </c>
      <c r="AR222" s="908"/>
      <c r="AS222" s="908"/>
      <c r="AT222" s="908"/>
      <c r="AX222" s="804">
        <f t="shared" si="131"/>
        <v>96</v>
      </c>
      <c r="BC222" s="969"/>
      <c r="BS222" s="888">
        <f t="shared" si="117"/>
        <v>1152</v>
      </c>
      <c r="BT222" s="889">
        <f t="shared" si="118"/>
        <v>2592664</v>
      </c>
      <c r="BU222" s="975"/>
      <c r="BV222" s="975"/>
      <c r="BW222" s="975"/>
      <c r="BX222" s="975"/>
      <c r="BY222" s="891">
        <f t="shared" si="108"/>
        <v>227336</v>
      </c>
      <c r="CA222" s="805">
        <f t="shared" si="119"/>
        <v>0</v>
      </c>
      <c r="CB222" s="888">
        <f t="shared" si="120"/>
        <v>50724.5714285714</v>
      </c>
      <c r="CC222" s="975"/>
      <c r="CD222" s="975"/>
      <c r="CE222" s="975"/>
      <c r="CF222" s="888">
        <f t="shared" si="109"/>
        <v>9275.4285714286</v>
      </c>
      <c r="CG222" s="975"/>
    </row>
    <row r="223" s="805" customFormat="1" ht="32" hidden="1" customHeight="1" spans="1:85">
      <c r="A223" s="909">
        <v>45884</v>
      </c>
      <c r="B223" s="910"/>
      <c r="C223" s="911"/>
      <c r="D223" s="912" t="s">
        <v>1938</v>
      </c>
      <c r="E223" s="910"/>
      <c r="F223" s="913"/>
      <c r="G223" s="285" t="s">
        <v>1163</v>
      </c>
      <c r="H223" s="285" t="s">
        <v>1140</v>
      </c>
      <c r="I223" s="285" t="s">
        <v>1939</v>
      </c>
      <c r="J223" s="285">
        <v>0</v>
      </c>
      <c r="K223" s="285">
        <v>24</v>
      </c>
      <c r="L223" s="931" t="e">
        <f t="shared" si="110"/>
        <v>#VALUE!</v>
      </c>
      <c r="M223" s="932">
        <v>45902</v>
      </c>
      <c r="N223" s="932">
        <f>M223-4</f>
        <v>45898</v>
      </c>
      <c r="O223" s="933"/>
      <c r="P223" s="934"/>
      <c r="Q223" s="285"/>
      <c r="R223" s="945" t="s">
        <v>57</v>
      </c>
      <c r="S223" s="285" t="s">
        <v>58</v>
      </c>
      <c r="T223" s="285" t="s">
        <v>58</v>
      </c>
      <c r="U223" s="946" t="s">
        <v>1940</v>
      </c>
      <c r="V223" s="932" t="s">
        <v>60</v>
      </c>
      <c r="W223" s="946"/>
      <c r="X223" s="947"/>
      <c r="Y223" s="285" t="s">
        <v>1941</v>
      </c>
      <c r="Z223" s="285"/>
      <c r="AA223" s="285"/>
      <c r="AB223" s="961"/>
      <c r="AC223" s="285"/>
      <c r="AD223" s="285">
        <v>30</v>
      </c>
      <c r="AE223" s="895">
        <v>0</v>
      </c>
      <c r="AF223" s="962"/>
      <c r="AG223" s="285"/>
      <c r="AH223" s="285"/>
      <c r="AI223" s="285"/>
      <c r="AJ223" s="285"/>
      <c r="AK223" s="968"/>
      <c r="AN223" s="285"/>
      <c r="AO223" s="285"/>
      <c r="AP223" s="807"/>
      <c r="AQ223" s="285"/>
      <c r="AR223" s="285"/>
      <c r="AS223" s="285"/>
      <c r="AT223" s="285"/>
      <c r="BC223" s="968"/>
      <c r="BS223" s="888">
        <f t="shared" si="117"/>
        <v>0</v>
      </c>
      <c r="BT223" s="889">
        <f t="shared" si="118"/>
        <v>2592664</v>
      </c>
      <c r="BU223" s="291"/>
      <c r="BV223" s="291"/>
      <c r="BW223" s="291"/>
      <c r="BX223" s="291"/>
      <c r="BY223" s="891">
        <f t="shared" si="108"/>
        <v>227336</v>
      </c>
      <c r="CA223" s="805">
        <f t="shared" si="119"/>
        <v>0</v>
      </c>
      <c r="CB223" s="888">
        <f t="shared" si="120"/>
        <v>50724.5714285714</v>
      </c>
      <c r="CC223" s="291"/>
      <c r="CD223" s="291"/>
      <c r="CE223" s="291"/>
      <c r="CF223" s="888">
        <f t="shared" si="109"/>
        <v>9275.4285714286</v>
      </c>
      <c r="CG223" s="291"/>
    </row>
    <row r="224" s="804" customFormat="1" ht="32" hidden="1" customHeight="1" spans="1:85">
      <c r="A224" s="903">
        <v>45862</v>
      </c>
      <c r="B224" s="904" t="s">
        <v>1942</v>
      </c>
      <c r="C224" s="905" t="s">
        <v>84</v>
      </c>
      <c r="D224" s="906">
        <v>4500174780</v>
      </c>
      <c r="E224" s="904">
        <v>70072708</v>
      </c>
      <c r="F224" s="907" t="s">
        <v>1943</v>
      </c>
      <c r="G224" s="908" t="s">
        <v>1147</v>
      </c>
      <c r="H224" s="908" t="s">
        <v>1148</v>
      </c>
      <c r="I224" s="908">
        <v>600</v>
      </c>
      <c r="J224" s="908">
        <v>0</v>
      </c>
      <c r="K224" s="908">
        <v>12</v>
      </c>
      <c r="L224" s="927">
        <f t="shared" si="110"/>
        <v>50</v>
      </c>
      <c r="M224" s="928">
        <v>45918</v>
      </c>
      <c r="N224" s="928">
        <v>45915</v>
      </c>
      <c r="O224" s="930"/>
      <c r="P224" s="935" t="s">
        <v>46</v>
      </c>
      <c r="Q224" s="908"/>
      <c r="R224" s="942">
        <v>45883</v>
      </c>
      <c r="S224" s="908" t="s">
        <v>58</v>
      </c>
      <c r="T224" s="942">
        <v>45894</v>
      </c>
      <c r="U224" s="943" t="s">
        <v>1944</v>
      </c>
      <c r="V224" s="928" t="s">
        <v>1233</v>
      </c>
      <c r="W224" s="943">
        <v>2.4015</v>
      </c>
      <c r="X224" s="944">
        <f>I224*W224</f>
        <v>1440.9</v>
      </c>
      <c r="Y224" s="908" t="s">
        <v>1945</v>
      </c>
      <c r="Z224" s="936" t="s">
        <v>1884</v>
      </c>
      <c r="AA224" s="908" t="s">
        <v>53</v>
      </c>
      <c r="AB224" s="958" t="s">
        <v>54</v>
      </c>
      <c r="AC224" s="908"/>
      <c r="AD224" s="908">
        <v>600</v>
      </c>
      <c r="AE224" s="959">
        <f t="shared" ref="AE209:AE236" si="132">AD224-I224</f>
        <v>0</v>
      </c>
      <c r="AF224" s="960"/>
      <c r="AG224" s="908" t="s">
        <v>55</v>
      </c>
      <c r="AH224" s="908"/>
      <c r="AI224" s="908">
        <f>I224*2</f>
        <v>1200</v>
      </c>
      <c r="AJ224" s="908"/>
      <c r="AK224" s="969">
        <f>I224*2</f>
        <v>1200</v>
      </c>
      <c r="AN224" s="908"/>
      <c r="AO224" s="908"/>
      <c r="AQ224" s="908">
        <f>I224*2</f>
        <v>1200</v>
      </c>
      <c r="AR224" s="908"/>
      <c r="AS224" s="908"/>
      <c r="AT224" s="908"/>
      <c r="BC224" s="969"/>
      <c r="BL224" s="804">
        <f>I224</f>
        <v>600</v>
      </c>
      <c r="BM224" s="804">
        <f>I224</f>
        <v>600</v>
      </c>
      <c r="BO224" s="804">
        <f>I224</f>
        <v>600</v>
      </c>
      <c r="BS224" s="888">
        <f t="shared" si="117"/>
        <v>1200</v>
      </c>
      <c r="BT224" s="889">
        <f t="shared" si="118"/>
        <v>2593864</v>
      </c>
      <c r="BU224" s="975"/>
      <c r="BV224" s="975"/>
      <c r="BW224" s="975"/>
      <c r="BX224" s="975"/>
      <c r="BY224" s="891">
        <f t="shared" si="108"/>
        <v>226136</v>
      </c>
      <c r="CA224" s="805">
        <f t="shared" si="119"/>
        <v>0</v>
      </c>
      <c r="CB224" s="888">
        <f t="shared" si="120"/>
        <v>50724.5714285714</v>
      </c>
      <c r="CC224" s="975"/>
      <c r="CD224" s="975"/>
      <c r="CE224" s="975"/>
      <c r="CF224" s="888">
        <f t="shared" si="109"/>
        <v>9275.4285714286</v>
      </c>
      <c r="CG224" s="975"/>
    </row>
    <row r="225" s="804" customFormat="1" ht="32" customHeight="1" spans="1:85">
      <c r="A225" s="903">
        <v>45880</v>
      </c>
      <c r="B225" s="904" t="s">
        <v>812</v>
      </c>
      <c r="C225" s="905" t="s">
        <v>84</v>
      </c>
      <c r="D225" s="906">
        <v>4500176521</v>
      </c>
      <c r="E225" s="904" t="s">
        <v>1946</v>
      </c>
      <c r="F225" s="907" t="s">
        <v>1947</v>
      </c>
      <c r="G225" s="908" t="s">
        <v>1155</v>
      </c>
      <c r="H225" s="908" t="s">
        <v>1140</v>
      </c>
      <c r="I225" s="908">
        <v>1800</v>
      </c>
      <c r="J225" s="908">
        <v>0</v>
      </c>
      <c r="K225" s="908">
        <v>50</v>
      </c>
      <c r="L225" s="927">
        <f t="shared" si="110"/>
        <v>36</v>
      </c>
      <c r="M225" s="928">
        <v>45918</v>
      </c>
      <c r="N225" s="928">
        <v>45915</v>
      </c>
      <c r="O225" s="930"/>
      <c r="P225" s="935" t="s">
        <v>46</v>
      </c>
      <c r="Q225" s="908"/>
      <c r="R225" s="942">
        <v>45888</v>
      </c>
      <c r="S225" s="908" t="s">
        <v>58</v>
      </c>
      <c r="T225" s="908" t="s">
        <v>58</v>
      </c>
      <c r="U225" s="943" t="s">
        <v>1948</v>
      </c>
      <c r="V225" s="928" t="s">
        <v>816</v>
      </c>
      <c r="W225" s="948">
        <v>1.1763</v>
      </c>
      <c r="X225" s="944">
        <f>I225*W225</f>
        <v>2117.34</v>
      </c>
      <c r="Y225" s="908" t="s">
        <v>1949</v>
      </c>
      <c r="Z225" s="908" t="s">
        <v>1155</v>
      </c>
      <c r="AA225" s="908" t="s">
        <v>53</v>
      </c>
      <c r="AB225" s="958" t="s">
        <v>54</v>
      </c>
      <c r="AC225" s="908"/>
      <c r="AD225" s="908">
        <v>1800</v>
      </c>
      <c r="AE225" s="959">
        <f t="shared" si="132"/>
        <v>0</v>
      </c>
      <c r="AF225" s="960"/>
      <c r="AG225" s="908" t="s">
        <v>58</v>
      </c>
      <c r="AH225" s="908"/>
      <c r="AI225" s="908">
        <f>I225</f>
        <v>1800</v>
      </c>
      <c r="AJ225" s="908"/>
      <c r="AK225" s="969">
        <f>I225*2</f>
        <v>3600</v>
      </c>
      <c r="AN225" s="908"/>
      <c r="AO225" s="908"/>
      <c r="AP225" s="971"/>
      <c r="AQ225" s="908">
        <f>I225</f>
        <v>1800</v>
      </c>
      <c r="AR225" s="908"/>
      <c r="AS225" s="908"/>
      <c r="AT225" s="908"/>
      <c r="BC225" s="969">
        <f>I225/25</f>
        <v>72</v>
      </c>
      <c r="BS225" s="888">
        <f t="shared" si="117"/>
        <v>1800</v>
      </c>
      <c r="BT225" s="889">
        <f t="shared" si="118"/>
        <v>2595664</v>
      </c>
      <c r="BU225" s="975"/>
      <c r="BV225" s="975"/>
      <c r="BW225" s="975"/>
      <c r="BX225" s="975"/>
      <c r="BY225" s="891">
        <f t="shared" si="108"/>
        <v>224336</v>
      </c>
      <c r="CA225" s="805">
        <f t="shared" si="119"/>
        <v>72</v>
      </c>
      <c r="CB225" s="888">
        <f t="shared" si="120"/>
        <v>50796.5714285714</v>
      </c>
      <c r="CC225" s="975"/>
      <c r="CD225" s="975"/>
      <c r="CE225" s="975"/>
      <c r="CF225" s="888">
        <f t="shared" si="109"/>
        <v>9203.4285714286</v>
      </c>
      <c r="CG225" s="975"/>
    </row>
    <row r="226" s="804" customFormat="1" ht="32" customHeight="1" spans="1:85">
      <c r="A226" s="903">
        <v>45874</v>
      </c>
      <c r="B226" s="904" t="s">
        <v>1950</v>
      </c>
      <c r="C226" s="905" t="s">
        <v>84</v>
      </c>
      <c r="D226" s="906">
        <v>4500175977</v>
      </c>
      <c r="E226" s="904" t="s">
        <v>1951</v>
      </c>
      <c r="F226" s="907" t="s">
        <v>1952</v>
      </c>
      <c r="G226" s="908" t="s">
        <v>1155</v>
      </c>
      <c r="H226" s="908" t="s">
        <v>1140</v>
      </c>
      <c r="I226" s="936">
        <v>700</v>
      </c>
      <c r="J226" s="908">
        <v>0</v>
      </c>
      <c r="K226" s="908">
        <v>50</v>
      </c>
      <c r="L226" s="927">
        <f t="shared" si="110"/>
        <v>14</v>
      </c>
      <c r="M226" s="928">
        <v>45919</v>
      </c>
      <c r="N226" s="928">
        <v>45915</v>
      </c>
      <c r="O226" s="930"/>
      <c r="P226" s="935" t="s">
        <v>46</v>
      </c>
      <c r="Q226" s="908"/>
      <c r="R226" s="942">
        <v>45883</v>
      </c>
      <c r="S226" s="908" t="s">
        <v>58</v>
      </c>
      <c r="T226" s="908" t="s">
        <v>58</v>
      </c>
      <c r="U226" s="943" t="s">
        <v>1953</v>
      </c>
      <c r="V226" s="928" t="s">
        <v>1073</v>
      </c>
      <c r="W226" s="943">
        <v>1.1763</v>
      </c>
      <c r="X226" s="944">
        <v>764.595</v>
      </c>
      <c r="Y226" s="908" t="s">
        <v>1954</v>
      </c>
      <c r="Z226" s="908" t="s">
        <v>1155</v>
      </c>
      <c r="AA226" s="908" t="s">
        <v>53</v>
      </c>
      <c r="AB226" s="958" t="s">
        <v>54</v>
      </c>
      <c r="AC226" s="908"/>
      <c r="AD226" s="908">
        <v>700</v>
      </c>
      <c r="AE226" s="959">
        <f t="shared" si="132"/>
        <v>0</v>
      </c>
      <c r="AF226" s="960"/>
      <c r="AG226" s="908" t="s">
        <v>58</v>
      </c>
      <c r="AH226" s="908"/>
      <c r="AI226" s="908">
        <v>650</v>
      </c>
      <c r="AJ226" s="908"/>
      <c r="AK226" s="969">
        <f>I226</f>
        <v>700</v>
      </c>
      <c r="AN226" s="908"/>
      <c r="AO226" s="908"/>
      <c r="AP226" s="971"/>
      <c r="AQ226" s="969">
        <f>I226</f>
        <v>700</v>
      </c>
      <c r="AR226" s="908"/>
      <c r="AS226" s="908"/>
      <c r="AT226" s="908"/>
      <c r="BC226" s="969">
        <f>I226/25</f>
        <v>28</v>
      </c>
      <c r="BS226" s="888">
        <f t="shared" si="117"/>
        <v>650</v>
      </c>
      <c r="BT226" s="889">
        <f t="shared" si="118"/>
        <v>2596314</v>
      </c>
      <c r="BU226" s="975"/>
      <c r="BV226" s="975"/>
      <c r="BW226" s="975"/>
      <c r="BX226" s="975"/>
      <c r="BY226" s="891">
        <f t="shared" si="108"/>
        <v>223686</v>
      </c>
      <c r="CA226" s="805">
        <f t="shared" si="119"/>
        <v>28</v>
      </c>
      <c r="CB226" s="888">
        <f t="shared" si="120"/>
        <v>50824.5714285714</v>
      </c>
      <c r="CC226" s="975"/>
      <c r="CD226" s="975"/>
      <c r="CE226" s="975"/>
      <c r="CF226" s="888">
        <f t="shared" si="109"/>
        <v>9175.4285714286</v>
      </c>
      <c r="CG226" s="975"/>
    </row>
    <row r="227" s="804" customFormat="1" ht="32" customHeight="1" spans="1:85">
      <c r="A227" s="903">
        <v>45876</v>
      </c>
      <c r="B227" s="904" t="s">
        <v>1519</v>
      </c>
      <c r="C227" s="905" t="s">
        <v>1374</v>
      </c>
      <c r="D227" s="906">
        <v>4500176300</v>
      </c>
      <c r="E227" s="904" t="s">
        <v>1955</v>
      </c>
      <c r="F227" s="907" t="s">
        <v>1956</v>
      </c>
      <c r="G227" s="908" t="s">
        <v>1155</v>
      </c>
      <c r="H227" s="908" t="s">
        <v>1140</v>
      </c>
      <c r="I227" s="908">
        <v>400</v>
      </c>
      <c r="J227" s="908">
        <v>0</v>
      </c>
      <c r="K227" s="908">
        <v>50</v>
      </c>
      <c r="L227" s="927">
        <f t="shared" si="110"/>
        <v>8</v>
      </c>
      <c r="M227" s="928">
        <v>45922</v>
      </c>
      <c r="N227" s="928">
        <v>45918</v>
      </c>
      <c r="O227" s="930"/>
      <c r="P227" s="935" t="s">
        <v>46</v>
      </c>
      <c r="Q227" s="908"/>
      <c r="R227" s="942">
        <v>45876</v>
      </c>
      <c r="S227" s="942" t="s">
        <v>58</v>
      </c>
      <c r="T227" s="942" t="s">
        <v>58</v>
      </c>
      <c r="U227" s="943" t="s">
        <v>1957</v>
      </c>
      <c r="V227" s="928" t="s">
        <v>328</v>
      </c>
      <c r="W227" s="948">
        <v>1.9605</v>
      </c>
      <c r="X227" s="944">
        <f t="shared" ref="X227:X236" si="133">I227*W227</f>
        <v>784.2</v>
      </c>
      <c r="Y227" s="963" t="s">
        <v>1958</v>
      </c>
      <c r="Z227" s="908" t="s">
        <v>1155</v>
      </c>
      <c r="AA227" s="908" t="s">
        <v>53</v>
      </c>
      <c r="AB227" s="958" t="s">
        <v>54</v>
      </c>
      <c r="AC227" s="908"/>
      <c r="AD227" s="908">
        <v>400</v>
      </c>
      <c r="AE227" s="959">
        <f t="shared" si="132"/>
        <v>0</v>
      </c>
      <c r="AF227" s="960"/>
      <c r="AG227" s="908" t="s">
        <v>58</v>
      </c>
      <c r="AH227" s="908"/>
      <c r="AI227" s="908">
        <f>I227</f>
        <v>400</v>
      </c>
      <c r="AJ227" s="908"/>
      <c r="AK227" s="969">
        <f>I227</f>
        <v>400</v>
      </c>
      <c r="AN227" s="969"/>
      <c r="AO227" s="908"/>
      <c r="AQ227" s="908">
        <f t="shared" ref="AQ227:AQ232" si="134">I227</f>
        <v>400</v>
      </c>
      <c r="AR227" s="908"/>
      <c r="AS227" s="908"/>
      <c r="AT227" s="908"/>
      <c r="BC227" s="969">
        <f>I227/25</f>
        <v>16</v>
      </c>
      <c r="BS227" s="888">
        <f t="shared" si="117"/>
        <v>400</v>
      </c>
      <c r="BT227" s="889">
        <f t="shared" si="118"/>
        <v>2596714</v>
      </c>
      <c r="BU227" s="975"/>
      <c r="BV227" s="975"/>
      <c r="BW227" s="975"/>
      <c r="BX227" s="975"/>
      <c r="BY227" s="891">
        <f t="shared" si="108"/>
        <v>223286</v>
      </c>
      <c r="CA227" s="805">
        <f t="shared" si="119"/>
        <v>16</v>
      </c>
      <c r="CB227" s="888">
        <f t="shared" si="120"/>
        <v>50840.5714285714</v>
      </c>
      <c r="CC227" s="975"/>
      <c r="CD227" s="975"/>
      <c r="CE227" s="975"/>
      <c r="CF227" s="888">
        <f t="shared" si="109"/>
        <v>9159.4285714286</v>
      </c>
      <c r="CG227" s="975"/>
    </row>
    <row r="228" s="804" customFormat="1" ht="32" hidden="1" customHeight="1" spans="1:85">
      <c r="A228" s="903">
        <v>45897</v>
      </c>
      <c r="B228" s="904" t="s">
        <v>1347</v>
      </c>
      <c r="C228" s="905" t="s">
        <v>1348</v>
      </c>
      <c r="D228" s="906">
        <v>4500178155</v>
      </c>
      <c r="E228" s="904"/>
      <c r="F228" s="907" t="s">
        <v>1959</v>
      </c>
      <c r="G228" s="908" t="s">
        <v>1139</v>
      </c>
      <c r="H228" s="908" t="s">
        <v>1140</v>
      </c>
      <c r="I228" s="908">
        <v>1508</v>
      </c>
      <c r="J228" s="908">
        <v>0</v>
      </c>
      <c r="K228" s="908">
        <v>52</v>
      </c>
      <c r="L228" s="927">
        <f t="shared" si="110"/>
        <v>29</v>
      </c>
      <c r="M228" s="928">
        <v>45944</v>
      </c>
      <c r="N228" s="928">
        <v>45940</v>
      </c>
      <c r="O228" s="930"/>
      <c r="P228" s="935" t="s">
        <v>46</v>
      </c>
      <c r="Q228" s="908"/>
      <c r="R228" s="942">
        <v>45897</v>
      </c>
      <c r="S228" s="942" t="s">
        <v>58</v>
      </c>
      <c r="T228" s="942">
        <v>45909</v>
      </c>
      <c r="U228" s="949" t="s">
        <v>1960</v>
      </c>
      <c r="V228" s="928" t="s">
        <v>1352</v>
      </c>
      <c r="W228" s="943">
        <v>1.8632</v>
      </c>
      <c r="X228" s="944">
        <f t="shared" si="133"/>
        <v>2809.7056</v>
      </c>
      <c r="Y228" s="908" t="s">
        <v>1961</v>
      </c>
      <c r="Z228" s="908" t="s">
        <v>1139</v>
      </c>
      <c r="AA228" s="908" t="s">
        <v>53</v>
      </c>
      <c r="AB228" s="958" t="s">
        <v>54</v>
      </c>
      <c r="AC228" s="908"/>
      <c r="AD228" s="908">
        <v>1508</v>
      </c>
      <c r="AE228" s="959">
        <f t="shared" si="132"/>
        <v>0</v>
      </c>
      <c r="AF228" s="960"/>
      <c r="AG228" s="908" t="s">
        <v>55</v>
      </c>
      <c r="AH228" s="908"/>
      <c r="AI228" s="908">
        <f>I228</f>
        <v>1508</v>
      </c>
      <c r="AJ228" s="908"/>
      <c r="AK228" s="969">
        <f>I228</f>
        <v>1508</v>
      </c>
      <c r="AN228" s="908"/>
      <c r="AO228" s="908"/>
      <c r="AP228" s="971"/>
      <c r="AQ228" s="908">
        <f t="shared" si="134"/>
        <v>1508</v>
      </c>
      <c r="AR228" s="908"/>
      <c r="AS228" s="908"/>
      <c r="AT228" s="908"/>
      <c r="BA228" s="804">
        <f>I228/13</f>
        <v>116</v>
      </c>
      <c r="BC228" s="969"/>
      <c r="BS228" s="888">
        <f t="shared" si="117"/>
        <v>1508</v>
      </c>
      <c r="BT228" s="889">
        <f t="shared" si="118"/>
        <v>2598222</v>
      </c>
      <c r="BU228" s="975"/>
      <c r="BV228" s="975"/>
      <c r="BW228" s="975"/>
      <c r="BX228" s="975"/>
      <c r="BY228" s="891">
        <f t="shared" si="108"/>
        <v>221778</v>
      </c>
      <c r="CA228" s="805">
        <f t="shared" si="119"/>
        <v>0</v>
      </c>
      <c r="CB228" s="888">
        <f t="shared" si="120"/>
        <v>50840.5714285714</v>
      </c>
      <c r="CC228" s="975"/>
      <c r="CD228" s="975"/>
      <c r="CE228" s="975"/>
      <c r="CF228" s="888">
        <f t="shared" si="109"/>
        <v>9159.4285714286</v>
      </c>
      <c r="CG228" s="975"/>
    </row>
    <row r="229" s="804" customFormat="1" ht="32" hidden="1" customHeight="1" spans="1:85">
      <c r="A229" s="903">
        <v>45876</v>
      </c>
      <c r="B229" s="904" t="s">
        <v>1942</v>
      </c>
      <c r="C229" s="905" t="s">
        <v>84</v>
      </c>
      <c r="D229" s="906">
        <v>4500176169</v>
      </c>
      <c r="E229" s="904">
        <v>70072713</v>
      </c>
      <c r="F229" s="907" t="s">
        <v>1962</v>
      </c>
      <c r="G229" s="908" t="s">
        <v>1147</v>
      </c>
      <c r="H229" s="908" t="s">
        <v>1148</v>
      </c>
      <c r="I229" s="908">
        <v>600</v>
      </c>
      <c r="J229" s="908">
        <v>0</v>
      </c>
      <c r="K229" s="908">
        <v>12</v>
      </c>
      <c r="L229" s="927">
        <f t="shared" si="110"/>
        <v>50</v>
      </c>
      <c r="M229" s="928">
        <v>45943</v>
      </c>
      <c r="N229" s="928">
        <v>45939</v>
      </c>
      <c r="O229" s="930"/>
      <c r="P229" s="935" t="s">
        <v>46</v>
      </c>
      <c r="Q229" s="908"/>
      <c r="R229" s="942">
        <v>45904</v>
      </c>
      <c r="S229" s="942" t="s">
        <v>58</v>
      </c>
      <c r="T229" s="942" t="s">
        <v>58</v>
      </c>
      <c r="U229" s="943" t="s">
        <v>1963</v>
      </c>
      <c r="V229" s="928" t="s">
        <v>1233</v>
      </c>
      <c r="W229" s="943">
        <v>2.4244</v>
      </c>
      <c r="X229" s="944">
        <f t="shared" si="133"/>
        <v>1454.64</v>
      </c>
      <c r="Y229" s="908" t="s">
        <v>1964</v>
      </c>
      <c r="Z229" s="908" t="s">
        <v>1884</v>
      </c>
      <c r="AA229" s="908" t="s">
        <v>53</v>
      </c>
      <c r="AB229" s="958" t="s">
        <v>54</v>
      </c>
      <c r="AC229" s="908"/>
      <c r="AD229" s="908">
        <f>600</f>
        <v>600</v>
      </c>
      <c r="AE229" s="959">
        <f t="shared" si="132"/>
        <v>0</v>
      </c>
      <c r="AF229" s="960"/>
      <c r="AG229" s="908" t="s">
        <v>55</v>
      </c>
      <c r="AH229" s="908"/>
      <c r="AI229" s="908">
        <f>I229*2</f>
        <v>1200</v>
      </c>
      <c r="AJ229" s="908"/>
      <c r="AK229" s="969">
        <f>I229*2</f>
        <v>1200</v>
      </c>
      <c r="AN229" s="908"/>
      <c r="AO229" s="908"/>
      <c r="AP229" s="971"/>
      <c r="AQ229" s="908">
        <f>I229*2</f>
        <v>1200</v>
      </c>
      <c r="AR229" s="908"/>
      <c r="AS229" s="908"/>
      <c r="AT229" s="908"/>
      <c r="BC229" s="969"/>
      <c r="BL229" s="804">
        <f>I229</f>
        <v>600</v>
      </c>
      <c r="BM229" s="804">
        <f>I229</f>
        <v>600</v>
      </c>
      <c r="BO229" s="804">
        <f>I229</f>
        <v>600</v>
      </c>
      <c r="BS229" s="888">
        <f t="shared" si="117"/>
        <v>1200</v>
      </c>
      <c r="BT229" s="889">
        <f t="shared" si="118"/>
        <v>2599422</v>
      </c>
      <c r="BU229" s="975"/>
      <c r="BV229" s="975"/>
      <c r="BW229" s="975"/>
      <c r="BX229" s="975"/>
      <c r="BY229" s="891">
        <f t="shared" si="108"/>
        <v>220578</v>
      </c>
      <c r="CA229" s="805">
        <f t="shared" si="119"/>
        <v>0</v>
      </c>
      <c r="CB229" s="888">
        <f t="shared" si="120"/>
        <v>50840.5714285714</v>
      </c>
      <c r="CC229" s="975"/>
      <c r="CD229" s="975"/>
      <c r="CE229" s="975"/>
      <c r="CF229" s="888">
        <f t="shared" si="109"/>
        <v>9159.4285714286</v>
      </c>
      <c r="CG229" s="975"/>
    </row>
    <row r="230" s="804" customFormat="1" ht="32" hidden="1" customHeight="1" spans="1:85">
      <c r="A230" s="903">
        <v>45890</v>
      </c>
      <c r="B230" s="904" t="s">
        <v>1965</v>
      </c>
      <c r="C230" s="905" t="s">
        <v>600</v>
      </c>
      <c r="D230" s="906">
        <v>4500177504</v>
      </c>
      <c r="E230" s="904" t="s">
        <v>1966</v>
      </c>
      <c r="F230" s="907" t="s">
        <v>1967</v>
      </c>
      <c r="G230" s="908" t="s">
        <v>1147</v>
      </c>
      <c r="H230" s="908" t="s">
        <v>1148</v>
      </c>
      <c r="I230" s="908">
        <v>732</v>
      </c>
      <c r="J230" s="908">
        <v>0</v>
      </c>
      <c r="K230" s="908">
        <v>12</v>
      </c>
      <c r="L230" s="927">
        <f t="shared" si="110"/>
        <v>61</v>
      </c>
      <c r="M230" s="928">
        <v>45946</v>
      </c>
      <c r="N230" s="928">
        <v>45943</v>
      </c>
      <c r="O230" s="930"/>
      <c r="P230" s="935" t="s">
        <v>46</v>
      </c>
      <c r="Q230" s="908"/>
      <c r="R230" s="942" t="s">
        <v>1968</v>
      </c>
      <c r="S230" s="908" t="s">
        <v>48</v>
      </c>
      <c r="T230" s="942" t="s">
        <v>1969</v>
      </c>
      <c r="U230" s="949" t="s">
        <v>1970</v>
      </c>
      <c r="V230" s="928" t="s">
        <v>541</v>
      </c>
      <c r="W230" s="943">
        <v>4.0406</v>
      </c>
      <c r="X230" s="944">
        <f t="shared" si="133"/>
        <v>2957.7192</v>
      </c>
      <c r="Y230" s="908" t="s">
        <v>1971</v>
      </c>
      <c r="Z230" s="908" t="s">
        <v>1549</v>
      </c>
      <c r="AA230" s="908" t="s">
        <v>53</v>
      </c>
      <c r="AB230" s="958" t="s">
        <v>54</v>
      </c>
      <c r="AC230" s="908"/>
      <c r="AD230" s="908">
        <f>720+12</f>
        <v>732</v>
      </c>
      <c r="AE230" s="959">
        <f t="shared" si="132"/>
        <v>0</v>
      </c>
      <c r="AF230" s="960"/>
      <c r="AG230" s="908"/>
      <c r="AH230" s="908"/>
      <c r="AI230" s="908">
        <f>I230*2</f>
        <v>1464</v>
      </c>
      <c r="AJ230" s="908"/>
      <c r="AK230" s="969"/>
      <c r="AN230" s="908">
        <f>I230*2</f>
        <v>1464</v>
      </c>
      <c r="AO230" s="908"/>
      <c r="AP230" s="971"/>
      <c r="AQ230" s="908">
        <f>I230*2</f>
        <v>1464</v>
      </c>
      <c r="AR230" s="908"/>
      <c r="AS230" s="908"/>
      <c r="AT230" s="908"/>
      <c r="BC230" s="969"/>
      <c r="BL230" s="804">
        <f>I230</f>
        <v>732</v>
      </c>
      <c r="BM230" s="804">
        <f>I230</f>
        <v>732</v>
      </c>
      <c r="BO230" s="804">
        <f>I230</f>
        <v>732</v>
      </c>
      <c r="BS230" s="888">
        <f t="shared" si="117"/>
        <v>1464</v>
      </c>
      <c r="BT230" s="889">
        <f t="shared" si="118"/>
        <v>2600886</v>
      </c>
      <c r="BU230" s="975"/>
      <c r="BV230" s="975"/>
      <c r="BW230" s="975"/>
      <c r="BX230" s="975"/>
      <c r="BY230" s="891">
        <f t="shared" si="108"/>
        <v>219114</v>
      </c>
      <c r="CA230" s="805">
        <f t="shared" si="119"/>
        <v>0</v>
      </c>
      <c r="CB230" s="888">
        <f t="shared" si="120"/>
        <v>50840.5714285714</v>
      </c>
      <c r="CC230" s="975"/>
      <c r="CD230" s="975"/>
      <c r="CE230" s="975"/>
      <c r="CF230" s="888">
        <f t="shared" si="109"/>
        <v>9159.4285714286</v>
      </c>
      <c r="CG230" s="975"/>
    </row>
    <row r="231" s="804" customFormat="1" ht="32" customHeight="1" spans="1:85">
      <c r="A231" s="903">
        <v>45902</v>
      </c>
      <c r="B231" s="904" t="s">
        <v>1972</v>
      </c>
      <c r="C231" s="905" t="s">
        <v>63</v>
      </c>
      <c r="D231" s="906">
        <v>4500178312</v>
      </c>
      <c r="E231" s="904" t="s">
        <v>1973</v>
      </c>
      <c r="F231" s="907" t="s">
        <v>1974</v>
      </c>
      <c r="G231" s="908" t="s">
        <v>1155</v>
      </c>
      <c r="H231" s="908" t="s">
        <v>1140</v>
      </c>
      <c r="I231" s="908">
        <v>650</v>
      </c>
      <c r="J231" s="908">
        <v>0</v>
      </c>
      <c r="K231" s="908">
        <v>50</v>
      </c>
      <c r="L231" s="927">
        <f t="shared" si="110"/>
        <v>13</v>
      </c>
      <c r="M231" s="928">
        <v>45950</v>
      </c>
      <c r="N231" s="928">
        <v>45946</v>
      </c>
      <c r="O231" s="930"/>
      <c r="P231" s="935" t="s">
        <v>46</v>
      </c>
      <c r="Q231" s="908"/>
      <c r="R231" s="942">
        <v>45898</v>
      </c>
      <c r="S231" s="942" t="s">
        <v>58</v>
      </c>
      <c r="T231" s="942" t="s">
        <v>58</v>
      </c>
      <c r="U231" s="943" t="s">
        <v>1975</v>
      </c>
      <c r="V231" s="928" t="s">
        <v>1976</v>
      </c>
      <c r="W231" s="948">
        <v>1.996</v>
      </c>
      <c r="X231" s="944">
        <f t="shared" si="133"/>
        <v>1297.4</v>
      </c>
      <c r="Y231" s="908" t="s">
        <v>1977</v>
      </c>
      <c r="Z231" s="908" t="s">
        <v>1160</v>
      </c>
      <c r="AA231" s="908" t="s">
        <v>53</v>
      </c>
      <c r="AB231" s="958" t="s">
        <v>54</v>
      </c>
      <c r="AC231" s="908"/>
      <c r="AD231" s="908">
        <v>650</v>
      </c>
      <c r="AE231" s="959">
        <f t="shared" si="132"/>
        <v>0</v>
      </c>
      <c r="AF231" s="960"/>
      <c r="AG231" s="908" t="s">
        <v>55</v>
      </c>
      <c r="AH231" s="908"/>
      <c r="AI231" s="908">
        <f>I231</f>
        <v>650</v>
      </c>
      <c r="AJ231" s="908"/>
      <c r="AK231" s="969"/>
      <c r="AN231" s="908">
        <f>I231</f>
        <v>650</v>
      </c>
      <c r="AO231" s="908"/>
      <c r="AP231" s="971"/>
      <c r="AQ231" s="908">
        <f t="shared" si="134"/>
        <v>650</v>
      </c>
      <c r="AR231" s="908"/>
      <c r="AS231" s="908"/>
      <c r="AT231" s="908"/>
      <c r="BC231" s="969"/>
      <c r="BD231" s="804">
        <f>I231/25</f>
        <v>26</v>
      </c>
      <c r="BS231" s="888">
        <f t="shared" si="117"/>
        <v>650</v>
      </c>
      <c r="BT231" s="889">
        <f t="shared" si="118"/>
        <v>2601536</v>
      </c>
      <c r="BU231" s="975"/>
      <c r="BV231" s="975"/>
      <c r="BW231" s="975"/>
      <c r="BX231" s="975"/>
      <c r="BY231" s="891">
        <f t="shared" si="108"/>
        <v>218464</v>
      </c>
      <c r="CA231" s="805">
        <f t="shared" si="119"/>
        <v>26</v>
      </c>
      <c r="CB231" s="888">
        <f t="shared" si="120"/>
        <v>50866.5714285714</v>
      </c>
      <c r="CC231" s="975"/>
      <c r="CD231" s="975"/>
      <c r="CE231" s="975"/>
      <c r="CF231" s="888">
        <f t="shared" si="109"/>
        <v>9133.4285714286</v>
      </c>
      <c r="CG231" s="975"/>
    </row>
    <row r="232" s="804" customFormat="1" ht="32" hidden="1" customHeight="1" spans="1:85">
      <c r="A232" s="903">
        <v>45912</v>
      </c>
      <c r="B232" s="904" t="s">
        <v>1179</v>
      </c>
      <c r="C232" s="905" t="s">
        <v>84</v>
      </c>
      <c r="D232" s="906">
        <v>4500179366</v>
      </c>
      <c r="E232" s="904" t="s">
        <v>1978</v>
      </c>
      <c r="F232" s="907" t="s">
        <v>1979</v>
      </c>
      <c r="G232" s="908" t="s">
        <v>1181</v>
      </c>
      <c r="H232" s="908" t="s">
        <v>1140</v>
      </c>
      <c r="I232" s="908">
        <v>520</v>
      </c>
      <c r="J232" s="908">
        <v>0</v>
      </c>
      <c r="K232" s="908">
        <v>13</v>
      </c>
      <c r="L232" s="927">
        <f t="shared" si="110"/>
        <v>40</v>
      </c>
      <c r="M232" s="928">
        <v>45953</v>
      </c>
      <c r="N232" s="928">
        <v>45950</v>
      </c>
      <c r="O232" s="930"/>
      <c r="P232" s="935" t="s">
        <v>46</v>
      </c>
      <c r="Q232" s="950">
        <v>45954</v>
      </c>
      <c r="R232" s="942">
        <v>45920</v>
      </c>
      <c r="S232" s="942" t="s">
        <v>58</v>
      </c>
      <c r="T232" s="942" t="s">
        <v>58</v>
      </c>
      <c r="U232" s="943" t="s">
        <v>1980</v>
      </c>
      <c r="V232" s="928" t="s">
        <v>816</v>
      </c>
      <c r="W232" s="948">
        <v>1.1204</v>
      </c>
      <c r="X232" s="944">
        <f t="shared" si="133"/>
        <v>582.608</v>
      </c>
      <c r="Y232" s="908" t="s">
        <v>1981</v>
      </c>
      <c r="Z232" s="964" t="s">
        <v>1181</v>
      </c>
      <c r="AA232" s="908" t="s">
        <v>53</v>
      </c>
      <c r="AB232" s="958" t="s">
        <v>54</v>
      </c>
      <c r="AC232" s="908"/>
      <c r="AD232" s="908">
        <v>520</v>
      </c>
      <c r="AE232" s="959">
        <f t="shared" si="132"/>
        <v>0</v>
      </c>
      <c r="AF232" s="960"/>
      <c r="AG232" s="908"/>
      <c r="AH232" s="908"/>
      <c r="AI232" s="908">
        <f>I232</f>
        <v>520</v>
      </c>
      <c r="AJ232" s="908"/>
      <c r="AK232" s="908">
        <f>I232</f>
        <v>520</v>
      </c>
      <c r="AN232" s="908"/>
      <c r="AO232" s="908"/>
      <c r="AP232" s="971"/>
      <c r="AQ232" s="908">
        <f t="shared" si="134"/>
        <v>520</v>
      </c>
      <c r="AR232" s="908"/>
      <c r="AS232" s="908"/>
      <c r="AT232" s="908"/>
      <c r="BA232" s="804">
        <f>I232/13</f>
        <v>40</v>
      </c>
      <c r="BC232" s="969"/>
      <c r="BS232" s="888">
        <f t="shared" si="117"/>
        <v>520</v>
      </c>
      <c r="BT232" s="889">
        <f t="shared" si="118"/>
        <v>2602056</v>
      </c>
      <c r="BU232" s="975"/>
      <c r="BV232" s="975"/>
      <c r="BW232" s="975"/>
      <c r="BX232" s="975"/>
      <c r="BY232" s="891">
        <f t="shared" si="108"/>
        <v>217944</v>
      </c>
      <c r="CA232" s="805">
        <f t="shared" si="119"/>
        <v>0</v>
      </c>
      <c r="CB232" s="888">
        <f t="shared" si="120"/>
        <v>50866.5714285714</v>
      </c>
      <c r="CC232" s="975"/>
      <c r="CD232" s="975"/>
      <c r="CE232" s="975"/>
      <c r="CF232" s="888">
        <f t="shared" si="109"/>
        <v>9133.4285714286</v>
      </c>
      <c r="CG232" s="975"/>
    </row>
    <row r="233" s="802" customFormat="1" ht="32" hidden="1" customHeight="1" spans="1:85">
      <c r="A233" s="914">
        <v>45960</v>
      </c>
      <c r="B233" s="915"/>
      <c r="C233" s="916"/>
      <c r="D233" s="917" t="s">
        <v>1982</v>
      </c>
      <c r="E233" s="915"/>
      <c r="F233" s="918"/>
      <c r="G233" s="830" t="s">
        <v>1661</v>
      </c>
      <c r="H233" s="830"/>
      <c r="I233" s="830" t="s">
        <v>1644</v>
      </c>
      <c r="J233" s="830">
        <v>0</v>
      </c>
      <c r="K233" s="830">
        <v>24</v>
      </c>
      <c r="L233" s="842" t="e">
        <f t="shared" si="110"/>
        <v>#VALUE!</v>
      </c>
      <c r="M233" s="843">
        <v>45971</v>
      </c>
      <c r="N233" s="843">
        <v>45967</v>
      </c>
      <c r="O233" s="844"/>
      <c r="P233" s="937"/>
      <c r="Q233" s="846"/>
      <c r="R233" s="951"/>
      <c r="S233" s="951"/>
      <c r="T233" s="951"/>
      <c r="U233" s="856" t="s">
        <v>1983</v>
      </c>
      <c r="V233" s="843" t="s">
        <v>60</v>
      </c>
      <c r="W233" s="858"/>
      <c r="X233" s="859"/>
      <c r="Y233" s="830"/>
      <c r="Z233" s="965"/>
      <c r="AA233" s="830"/>
      <c r="AB233" s="870"/>
      <c r="AC233" s="830"/>
      <c r="AD233" s="830">
        <v>15</v>
      </c>
      <c r="AE233" s="871">
        <v>0</v>
      </c>
      <c r="AF233" s="966"/>
      <c r="AG233" s="830"/>
      <c r="AH233" s="830"/>
      <c r="AI233" s="830"/>
      <c r="AJ233" s="830"/>
      <c r="AK233" s="830"/>
      <c r="AN233" s="830"/>
      <c r="AO233" s="830"/>
      <c r="AP233" s="972"/>
      <c r="AQ233" s="830"/>
      <c r="AR233" s="830"/>
      <c r="AS233" s="830"/>
      <c r="AT233" s="830"/>
      <c r="BC233" s="808"/>
      <c r="BS233" s="888">
        <f t="shared" si="117"/>
        <v>0</v>
      </c>
      <c r="BT233" s="889">
        <f t="shared" si="118"/>
        <v>2602056</v>
      </c>
      <c r="BU233" s="888"/>
      <c r="BV233" s="888"/>
      <c r="BW233" s="888"/>
      <c r="BX233" s="888"/>
      <c r="BY233" s="891">
        <f t="shared" si="108"/>
        <v>217944</v>
      </c>
      <c r="CA233" s="805">
        <f t="shared" si="119"/>
        <v>0</v>
      </c>
      <c r="CB233" s="888">
        <f t="shared" si="120"/>
        <v>50866.5714285714</v>
      </c>
      <c r="CC233" s="888"/>
      <c r="CD233" s="888"/>
      <c r="CE233" s="888"/>
      <c r="CF233" s="888">
        <f t="shared" si="109"/>
        <v>9133.4285714286</v>
      </c>
      <c r="CG233" s="888"/>
    </row>
    <row r="234" s="803" customFormat="1" ht="32" hidden="1" customHeight="1" spans="1:85">
      <c r="A234" s="919">
        <v>45880</v>
      </c>
      <c r="B234" s="920" t="s">
        <v>1942</v>
      </c>
      <c r="C234" s="921" t="s">
        <v>84</v>
      </c>
      <c r="D234" s="922">
        <v>4500176581</v>
      </c>
      <c r="E234" s="920">
        <v>70072716</v>
      </c>
      <c r="F234" s="923" t="s">
        <v>1984</v>
      </c>
      <c r="G234" s="838" t="s">
        <v>1147</v>
      </c>
      <c r="H234" s="838" t="s">
        <v>1148</v>
      </c>
      <c r="I234" s="838">
        <v>600</v>
      </c>
      <c r="J234" s="838">
        <v>0</v>
      </c>
      <c r="K234" s="838">
        <v>12</v>
      </c>
      <c r="L234" s="847">
        <f t="shared" si="110"/>
        <v>50</v>
      </c>
      <c r="M234" s="848">
        <v>45981</v>
      </c>
      <c r="N234" s="848">
        <v>45978</v>
      </c>
      <c r="O234" s="850"/>
      <c r="P234" s="938" t="s">
        <v>46</v>
      </c>
      <c r="Q234" s="838"/>
      <c r="R234" s="952">
        <v>45946</v>
      </c>
      <c r="S234" s="952" t="s">
        <v>58</v>
      </c>
      <c r="T234" s="952" t="s">
        <v>1150</v>
      </c>
      <c r="U234" s="953" t="s">
        <v>1985</v>
      </c>
      <c r="V234" s="848" t="s">
        <v>1233</v>
      </c>
      <c r="W234" s="953">
        <v>2.4015</v>
      </c>
      <c r="X234" s="866">
        <f>I234*W234</f>
        <v>1440.9</v>
      </c>
      <c r="Y234" s="838" t="s">
        <v>1986</v>
      </c>
      <c r="Z234" s="838" t="s">
        <v>1884</v>
      </c>
      <c r="AA234" s="838" t="s">
        <v>53</v>
      </c>
      <c r="AB234" s="873" t="s">
        <v>54</v>
      </c>
      <c r="AC234" s="838"/>
      <c r="AD234" s="838">
        <f>516+84</f>
        <v>600</v>
      </c>
      <c r="AE234" s="874">
        <f>AD234-I234</f>
        <v>0</v>
      </c>
      <c r="AF234" s="967"/>
      <c r="AG234" s="838" t="s">
        <v>55</v>
      </c>
      <c r="AH234" s="838"/>
      <c r="AI234" s="838">
        <f>I234*2</f>
        <v>1200</v>
      </c>
      <c r="AJ234" s="838"/>
      <c r="AK234" s="970">
        <f>I234*2</f>
        <v>1200</v>
      </c>
      <c r="AN234" s="838"/>
      <c r="AO234" s="838"/>
      <c r="AP234" s="973"/>
      <c r="AQ234" s="838">
        <f>I234*2</f>
        <v>1200</v>
      </c>
      <c r="AR234" s="838"/>
      <c r="AS234" s="838"/>
      <c r="AT234" s="838"/>
      <c r="BC234" s="970"/>
      <c r="BL234" s="803">
        <f>I234</f>
        <v>600</v>
      </c>
      <c r="BM234" s="803">
        <f>I234</f>
        <v>600</v>
      </c>
      <c r="BO234" s="803">
        <f>I234</f>
        <v>600</v>
      </c>
      <c r="BS234" s="888">
        <f t="shared" si="117"/>
        <v>1200</v>
      </c>
      <c r="BT234" s="889">
        <f t="shared" si="118"/>
        <v>2603256</v>
      </c>
      <c r="BU234" s="892"/>
      <c r="BV234" s="892"/>
      <c r="BW234" s="892"/>
      <c r="BX234" s="892"/>
      <c r="BY234" s="891">
        <f t="shared" si="108"/>
        <v>216744</v>
      </c>
      <c r="CA234" s="805">
        <f t="shared" si="119"/>
        <v>0</v>
      </c>
      <c r="CB234" s="888">
        <f t="shared" si="120"/>
        <v>50866.5714285714</v>
      </c>
      <c r="CC234" s="892"/>
      <c r="CD234" s="892"/>
      <c r="CE234" s="892"/>
      <c r="CF234" s="888">
        <f t="shared" si="109"/>
        <v>9133.4285714286</v>
      </c>
      <c r="CG234" s="892"/>
    </row>
    <row r="235" s="803" customFormat="1" ht="32" hidden="1" customHeight="1" spans="1:85">
      <c r="A235" s="919">
        <v>45953</v>
      </c>
      <c r="B235" s="920" t="s">
        <v>1987</v>
      </c>
      <c r="C235" s="921" t="s">
        <v>84</v>
      </c>
      <c r="D235" s="922">
        <v>4500182963</v>
      </c>
      <c r="E235" s="920">
        <v>4559334965</v>
      </c>
      <c r="F235" s="922" t="s">
        <v>1988</v>
      </c>
      <c r="G235" s="838" t="s">
        <v>1290</v>
      </c>
      <c r="H235" s="838" t="s">
        <v>1140</v>
      </c>
      <c r="I235" s="838">
        <v>2622</v>
      </c>
      <c r="J235" s="838">
        <v>0</v>
      </c>
      <c r="K235" s="838">
        <v>6</v>
      </c>
      <c r="L235" s="847">
        <f t="shared" si="110"/>
        <v>437</v>
      </c>
      <c r="M235" s="939">
        <v>45995</v>
      </c>
      <c r="N235" s="939">
        <v>45992</v>
      </c>
      <c r="O235" s="940"/>
      <c r="P235" s="938" t="s">
        <v>46</v>
      </c>
      <c r="Q235" s="838"/>
      <c r="R235" s="952">
        <v>45953</v>
      </c>
      <c r="S235" s="838" t="s">
        <v>58</v>
      </c>
      <c r="T235" s="863" t="s">
        <v>1989</v>
      </c>
      <c r="U235" s="954" t="s">
        <v>1990</v>
      </c>
      <c r="V235" s="848" t="s">
        <v>793</v>
      </c>
      <c r="W235" s="865">
        <v>1.1527</v>
      </c>
      <c r="X235" s="866">
        <f>I235*W235</f>
        <v>3022.3794</v>
      </c>
      <c r="Y235" s="838" t="s">
        <v>1991</v>
      </c>
      <c r="Z235" s="838" t="s">
        <v>1290</v>
      </c>
      <c r="AA235" s="838" t="s">
        <v>53</v>
      </c>
      <c r="AB235" s="873" t="s">
        <v>54</v>
      </c>
      <c r="AC235" s="838"/>
      <c r="AD235" s="838">
        <v>2622</v>
      </c>
      <c r="AE235" s="874">
        <f>AD235-I235</f>
        <v>0</v>
      </c>
      <c r="AF235" s="967"/>
      <c r="AG235" s="838" t="s">
        <v>55</v>
      </c>
      <c r="AH235" s="838"/>
      <c r="AI235" s="838">
        <f>I235</f>
        <v>2622</v>
      </c>
      <c r="AJ235" s="838"/>
      <c r="AK235" s="838">
        <f>I235</f>
        <v>2622</v>
      </c>
      <c r="AN235" s="838"/>
      <c r="AO235" s="838"/>
      <c r="AP235" s="973"/>
      <c r="AQ235" s="838">
        <f>I235</f>
        <v>2622</v>
      </c>
      <c r="AR235" s="838"/>
      <c r="AS235" s="838"/>
      <c r="AT235" s="838"/>
      <c r="AZ235" s="803">
        <f>I235/6</f>
        <v>437</v>
      </c>
      <c r="BC235" s="970"/>
      <c r="BS235" s="888">
        <f t="shared" si="117"/>
        <v>2622</v>
      </c>
      <c r="BT235" s="889">
        <f t="shared" si="118"/>
        <v>2605878</v>
      </c>
      <c r="BU235" s="892"/>
      <c r="BV235" s="892"/>
      <c r="BW235" s="892"/>
      <c r="BX235" s="892"/>
      <c r="BY235" s="891">
        <f t="shared" si="108"/>
        <v>214122</v>
      </c>
      <c r="CA235" s="805">
        <f t="shared" si="119"/>
        <v>0</v>
      </c>
      <c r="CB235" s="888">
        <f t="shared" si="120"/>
        <v>50866.5714285714</v>
      </c>
      <c r="CC235" s="892"/>
      <c r="CD235" s="892"/>
      <c r="CE235" s="892"/>
      <c r="CF235" s="888">
        <f t="shared" si="109"/>
        <v>9133.4285714286</v>
      </c>
      <c r="CG235" s="892"/>
    </row>
    <row r="236" s="803" customFormat="1" ht="32" hidden="1" customHeight="1" spans="1:85">
      <c r="A236" s="919">
        <v>45953</v>
      </c>
      <c r="B236" s="920" t="s">
        <v>1987</v>
      </c>
      <c r="C236" s="921" t="s">
        <v>84</v>
      </c>
      <c r="D236" s="922">
        <v>4500182963</v>
      </c>
      <c r="E236" s="920">
        <v>4559335091</v>
      </c>
      <c r="F236" s="922" t="s">
        <v>1992</v>
      </c>
      <c r="G236" s="838" t="s">
        <v>1290</v>
      </c>
      <c r="H236" s="838" t="s">
        <v>1140</v>
      </c>
      <c r="I236" s="838">
        <v>2208</v>
      </c>
      <c r="J236" s="838">
        <v>0</v>
      </c>
      <c r="K236" s="838">
        <v>6</v>
      </c>
      <c r="L236" s="847">
        <f t="shared" si="110"/>
        <v>368</v>
      </c>
      <c r="M236" s="939">
        <v>45995</v>
      </c>
      <c r="N236" s="939">
        <v>45992</v>
      </c>
      <c r="O236" s="940"/>
      <c r="P236" s="938" t="s">
        <v>46</v>
      </c>
      <c r="Q236" s="838"/>
      <c r="R236" s="952">
        <v>45953</v>
      </c>
      <c r="S236" s="838" t="s">
        <v>58</v>
      </c>
      <c r="T236" s="863" t="s">
        <v>1989</v>
      </c>
      <c r="U236" s="954" t="s">
        <v>1990</v>
      </c>
      <c r="V236" s="848" t="s">
        <v>793</v>
      </c>
      <c r="W236" s="865">
        <v>1.1527</v>
      </c>
      <c r="X236" s="866">
        <f>I236*W236</f>
        <v>2545.1616</v>
      </c>
      <c r="Y236" s="838" t="s">
        <v>1993</v>
      </c>
      <c r="Z236" s="838" t="s">
        <v>1290</v>
      </c>
      <c r="AA236" s="838" t="s">
        <v>53</v>
      </c>
      <c r="AB236" s="873" t="s">
        <v>54</v>
      </c>
      <c r="AC236" s="838"/>
      <c r="AD236" s="838">
        <v>2208</v>
      </c>
      <c r="AE236" s="874">
        <f>AD236-I236</f>
        <v>0</v>
      </c>
      <c r="AF236" s="967"/>
      <c r="AG236" s="838" t="s">
        <v>55</v>
      </c>
      <c r="AH236" s="838"/>
      <c r="AI236" s="838">
        <f>I236</f>
        <v>2208</v>
      </c>
      <c r="AJ236" s="838"/>
      <c r="AK236" s="838">
        <f>I236</f>
        <v>2208</v>
      </c>
      <c r="AN236" s="838"/>
      <c r="AO236" s="838"/>
      <c r="AP236" s="973"/>
      <c r="AQ236" s="838">
        <f>I236</f>
        <v>2208</v>
      </c>
      <c r="AR236" s="838"/>
      <c r="AS236" s="838"/>
      <c r="AT236" s="838"/>
      <c r="AZ236" s="803">
        <f>I236/6</f>
        <v>368</v>
      </c>
      <c r="BC236" s="970"/>
      <c r="BS236" s="888">
        <f t="shared" si="117"/>
        <v>2208</v>
      </c>
      <c r="BT236" s="889">
        <f t="shared" si="118"/>
        <v>2608086</v>
      </c>
      <c r="BU236" s="892"/>
      <c r="BV236" s="892"/>
      <c r="BW236" s="892"/>
      <c r="BX236" s="892"/>
      <c r="BY236" s="891">
        <f t="shared" si="108"/>
        <v>211914</v>
      </c>
      <c r="CA236" s="805">
        <f t="shared" si="119"/>
        <v>0</v>
      </c>
      <c r="CB236" s="888">
        <f t="shared" si="120"/>
        <v>50866.5714285714</v>
      </c>
      <c r="CC236" s="892"/>
      <c r="CD236" s="892"/>
      <c r="CE236" s="892"/>
      <c r="CF236" s="888">
        <f t="shared" si="109"/>
        <v>9133.4285714286</v>
      </c>
      <c r="CG236" s="892"/>
    </row>
    <row r="237" s="803" customFormat="1" ht="32" hidden="1" customHeight="1" spans="1:85">
      <c r="A237" s="919">
        <v>45950</v>
      </c>
      <c r="B237" s="920" t="s">
        <v>1994</v>
      </c>
      <c r="C237" s="921" t="s">
        <v>1995</v>
      </c>
      <c r="D237" s="922">
        <v>4500182298</v>
      </c>
      <c r="E237" s="920" t="s">
        <v>1996</v>
      </c>
      <c r="F237" s="923" t="s">
        <v>1997</v>
      </c>
      <c r="G237" s="838" t="s">
        <v>1181</v>
      </c>
      <c r="H237" s="838" t="s">
        <v>1140</v>
      </c>
      <c r="I237" s="838">
        <v>6006</v>
      </c>
      <c r="J237" s="838">
        <v>0</v>
      </c>
      <c r="K237" s="838">
        <v>13</v>
      </c>
      <c r="L237" s="847">
        <f t="shared" si="110"/>
        <v>462</v>
      </c>
      <c r="M237" s="848">
        <v>45985</v>
      </c>
      <c r="N237" s="848">
        <v>45981</v>
      </c>
      <c r="O237" s="850"/>
      <c r="P237" s="938" t="s">
        <v>46</v>
      </c>
      <c r="Q237" s="838"/>
      <c r="R237" s="952">
        <v>45960</v>
      </c>
      <c r="S237" s="952" t="s">
        <v>58</v>
      </c>
      <c r="T237" s="955" t="s">
        <v>1998</v>
      </c>
      <c r="U237" s="953" t="s">
        <v>1999</v>
      </c>
      <c r="V237" s="848" t="s">
        <v>328</v>
      </c>
      <c r="W237" s="865">
        <v>1.8558</v>
      </c>
      <c r="X237" s="866">
        <f>I237*W237</f>
        <v>11145.9348</v>
      </c>
      <c r="Y237" s="838" t="s">
        <v>2000</v>
      </c>
      <c r="Z237" s="838" t="s">
        <v>1181</v>
      </c>
      <c r="AA237" s="838" t="s">
        <v>53</v>
      </c>
      <c r="AB237" s="873" t="s">
        <v>54</v>
      </c>
      <c r="AC237" s="838"/>
      <c r="AD237" s="838">
        <v>6006</v>
      </c>
      <c r="AE237" s="874">
        <f>AD237-I237</f>
        <v>0</v>
      </c>
      <c r="AF237" s="967"/>
      <c r="AG237" s="838" t="s">
        <v>55</v>
      </c>
      <c r="AH237" s="838"/>
      <c r="AI237" s="838">
        <f>I237</f>
        <v>6006</v>
      </c>
      <c r="AJ237" s="838"/>
      <c r="AK237" s="970">
        <f>I237</f>
        <v>6006</v>
      </c>
      <c r="AN237" s="838"/>
      <c r="AO237" s="838"/>
      <c r="AP237" s="973"/>
      <c r="AQ237" s="838">
        <f>I237</f>
        <v>6006</v>
      </c>
      <c r="AR237" s="838"/>
      <c r="AS237" s="838"/>
      <c r="AT237" s="838"/>
      <c r="BA237" s="803">
        <f>I237/13</f>
        <v>462</v>
      </c>
      <c r="BC237" s="970"/>
      <c r="BS237" s="888">
        <f t="shared" si="117"/>
        <v>6006</v>
      </c>
      <c r="BT237" s="889">
        <f t="shared" si="118"/>
        <v>2614092</v>
      </c>
      <c r="BU237" s="892"/>
      <c r="BV237" s="892"/>
      <c r="BW237" s="892"/>
      <c r="BX237" s="892"/>
      <c r="BY237" s="891">
        <f t="shared" si="108"/>
        <v>205908</v>
      </c>
      <c r="CA237" s="805">
        <f t="shared" si="119"/>
        <v>0</v>
      </c>
      <c r="CB237" s="888">
        <f t="shared" si="120"/>
        <v>50866.5714285714</v>
      </c>
      <c r="CC237" s="892"/>
      <c r="CD237" s="892"/>
      <c r="CE237" s="892"/>
      <c r="CF237" s="888">
        <f t="shared" si="109"/>
        <v>9133.4285714286</v>
      </c>
      <c r="CG237" s="892"/>
    </row>
    <row r="238" s="803" customFormat="1" ht="32" hidden="1" customHeight="1" spans="1:85">
      <c r="A238" s="919">
        <v>45953</v>
      </c>
      <c r="B238" s="920" t="s">
        <v>1987</v>
      </c>
      <c r="C238" s="921" t="s">
        <v>84</v>
      </c>
      <c r="D238" s="922">
        <v>4500182963</v>
      </c>
      <c r="E238" s="920">
        <v>4559335111</v>
      </c>
      <c r="F238" s="922" t="s">
        <v>2001</v>
      </c>
      <c r="G238" s="838" t="s">
        <v>1290</v>
      </c>
      <c r="H238" s="838" t="s">
        <v>1140</v>
      </c>
      <c r="I238" s="838">
        <v>2544</v>
      </c>
      <c r="J238" s="838">
        <v>0</v>
      </c>
      <c r="K238" s="838">
        <v>6</v>
      </c>
      <c r="L238" s="847">
        <f t="shared" si="110"/>
        <v>424</v>
      </c>
      <c r="M238" s="939">
        <v>45995</v>
      </c>
      <c r="N238" s="939">
        <v>45992</v>
      </c>
      <c r="O238" s="850"/>
      <c r="P238" s="938" t="s">
        <v>46</v>
      </c>
      <c r="Q238" s="838"/>
      <c r="R238" s="952">
        <v>45953</v>
      </c>
      <c r="S238" s="838" t="s">
        <v>58</v>
      </c>
      <c r="T238" s="863" t="s">
        <v>1989</v>
      </c>
      <c r="U238" s="954" t="s">
        <v>1990</v>
      </c>
      <c r="V238" s="848" t="s">
        <v>793</v>
      </c>
      <c r="W238" s="865">
        <v>1.1527</v>
      </c>
      <c r="X238" s="866">
        <f t="shared" ref="X238:X254" si="135">I238*W238</f>
        <v>2932.4688</v>
      </c>
      <c r="Y238" s="838" t="s">
        <v>2002</v>
      </c>
      <c r="Z238" s="838" t="s">
        <v>1290</v>
      </c>
      <c r="AA238" s="838" t="s">
        <v>53</v>
      </c>
      <c r="AB238" s="873" t="s">
        <v>54</v>
      </c>
      <c r="AC238" s="838"/>
      <c r="AD238" s="838">
        <v>2544</v>
      </c>
      <c r="AE238" s="874">
        <f t="shared" ref="AE238:AE288" si="136">AD238-I238</f>
        <v>0</v>
      </c>
      <c r="AF238" s="967"/>
      <c r="AG238" s="838" t="s">
        <v>55</v>
      </c>
      <c r="AH238" s="838"/>
      <c r="AI238" s="838">
        <f t="shared" ref="AI238:AI246" si="137">I238</f>
        <v>2544</v>
      </c>
      <c r="AJ238" s="838"/>
      <c r="AK238" s="838">
        <f t="shared" ref="AK238:AK245" si="138">I238</f>
        <v>2544</v>
      </c>
      <c r="AN238" s="838"/>
      <c r="AO238" s="838"/>
      <c r="AP238" s="973"/>
      <c r="AQ238" s="838">
        <f t="shared" ref="AQ238:AQ246" si="139">I238</f>
        <v>2544</v>
      </c>
      <c r="AR238" s="838"/>
      <c r="AS238" s="838"/>
      <c r="AT238" s="838"/>
      <c r="AZ238" s="803">
        <f t="shared" ref="AZ238:AZ244" si="140">I238/6</f>
        <v>424</v>
      </c>
      <c r="BC238" s="970"/>
      <c r="BS238" s="888">
        <f t="shared" si="117"/>
        <v>2544</v>
      </c>
      <c r="BT238" s="889">
        <f t="shared" si="118"/>
        <v>2616636</v>
      </c>
      <c r="BU238" s="892"/>
      <c r="BV238" s="892"/>
      <c r="BW238" s="892"/>
      <c r="BX238" s="892"/>
      <c r="BY238" s="891">
        <f t="shared" si="108"/>
        <v>203364</v>
      </c>
      <c r="CA238" s="805">
        <f t="shared" si="119"/>
        <v>0</v>
      </c>
      <c r="CB238" s="888">
        <f t="shared" si="120"/>
        <v>50866.5714285714</v>
      </c>
      <c r="CC238" s="892"/>
      <c r="CD238" s="892"/>
      <c r="CE238" s="892"/>
      <c r="CF238" s="888">
        <f t="shared" si="109"/>
        <v>9133.4285714286</v>
      </c>
      <c r="CG238" s="892"/>
    </row>
    <row r="239" s="803" customFormat="1" ht="32" hidden="1" customHeight="1" spans="1:85">
      <c r="A239" s="919">
        <v>45953</v>
      </c>
      <c r="B239" s="920" t="s">
        <v>1987</v>
      </c>
      <c r="C239" s="921" t="s">
        <v>84</v>
      </c>
      <c r="D239" s="922">
        <v>4500182963</v>
      </c>
      <c r="E239" s="920">
        <v>4559334570</v>
      </c>
      <c r="F239" s="922" t="s">
        <v>2003</v>
      </c>
      <c r="G239" s="838" t="s">
        <v>1290</v>
      </c>
      <c r="H239" s="838" t="s">
        <v>1140</v>
      </c>
      <c r="I239" s="838">
        <v>3426</v>
      </c>
      <c r="J239" s="838">
        <v>0</v>
      </c>
      <c r="K239" s="838">
        <v>6</v>
      </c>
      <c r="L239" s="847">
        <f t="shared" si="110"/>
        <v>571</v>
      </c>
      <c r="M239" s="939">
        <v>45995</v>
      </c>
      <c r="N239" s="939">
        <v>45992</v>
      </c>
      <c r="O239" s="850"/>
      <c r="P239" s="938" t="s">
        <v>46</v>
      </c>
      <c r="Q239" s="838"/>
      <c r="R239" s="952">
        <v>45953</v>
      </c>
      <c r="S239" s="838" t="s">
        <v>58</v>
      </c>
      <c r="T239" s="863" t="s">
        <v>1989</v>
      </c>
      <c r="U239" s="954" t="s">
        <v>1990</v>
      </c>
      <c r="V239" s="848" t="s">
        <v>793</v>
      </c>
      <c r="W239" s="865">
        <v>1.1493</v>
      </c>
      <c r="X239" s="866">
        <f t="shared" si="135"/>
        <v>3937.5018</v>
      </c>
      <c r="Y239" s="838" t="s">
        <v>2004</v>
      </c>
      <c r="Z239" s="838" t="s">
        <v>1290</v>
      </c>
      <c r="AA239" s="838" t="s">
        <v>53</v>
      </c>
      <c r="AB239" s="873" t="s">
        <v>54</v>
      </c>
      <c r="AC239" s="838"/>
      <c r="AD239" s="838">
        <v>3426</v>
      </c>
      <c r="AE239" s="874">
        <f t="shared" si="136"/>
        <v>0</v>
      </c>
      <c r="AF239" s="967"/>
      <c r="AG239" s="838" t="s">
        <v>55</v>
      </c>
      <c r="AH239" s="838"/>
      <c r="AI239" s="838">
        <f t="shared" si="137"/>
        <v>3426</v>
      </c>
      <c r="AJ239" s="838"/>
      <c r="AK239" s="838">
        <f t="shared" si="138"/>
        <v>3426</v>
      </c>
      <c r="AN239" s="838"/>
      <c r="AO239" s="838"/>
      <c r="AP239" s="973"/>
      <c r="AQ239" s="838">
        <f t="shared" si="139"/>
        <v>3426</v>
      </c>
      <c r="AR239" s="838"/>
      <c r="AS239" s="838"/>
      <c r="AT239" s="838"/>
      <c r="AZ239" s="803">
        <f t="shared" si="140"/>
        <v>571</v>
      </c>
      <c r="BC239" s="970"/>
      <c r="BS239" s="888">
        <f t="shared" si="117"/>
        <v>3426</v>
      </c>
      <c r="BT239" s="889">
        <f t="shared" si="118"/>
        <v>2620062</v>
      </c>
      <c r="BU239" s="892"/>
      <c r="BV239" s="892"/>
      <c r="BW239" s="892"/>
      <c r="BX239" s="892"/>
      <c r="BY239" s="891">
        <f t="shared" si="108"/>
        <v>199938</v>
      </c>
      <c r="CA239" s="805">
        <f t="shared" si="119"/>
        <v>0</v>
      </c>
      <c r="CB239" s="888">
        <f t="shared" si="120"/>
        <v>50866.5714285714</v>
      </c>
      <c r="CC239" s="892"/>
      <c r="CD239" s="892"/>
      <c r="CE239" s="892"/>
      <c r="CF239" s="888">
        <f t="shared" si="109"/>
        <v>9133.4285714286</v>
      </c>
      <c r="CG239" s="892"/>
    </row>
    <row r="240" s="803" customFormat="1" ht="32" hidden="1" customHeight="1" spans="1:85">
      <c r="A240" s="919">
        <v>45953</v>
      </c>
      <c r="B240" s="920" t="s">
        <v>1987</v>
      </c>
      <c r="C240" s="921" t="s">
        <v>84</v>
      </c>
      <c r="D240" s="922">
        <v>4500182963</v>
      </c>
      <c r="E240" s="920">
        <v>4559334848</v>
      </c>
      <c r="F240" s="922" t="s">
        <v>2005</v>
      </c>
      <c r="G240" s="838" t="s">
        <v>1290</v>
      </c>
      <c r="H240" s="838" t="s">
        <v>1140</v>
      </c>
      <c r="I240" s="838">
        <v>2694</v>
      </c>
      <c r="J240" s="838">
        <v>0</v>
      </c>
      <c r="K240" s="838">
        <v>6</v>
      </c>
      <c r="L240" s="847">
        <f t="shared" si="110"/>
        <v>449</v>
      </c>
      <c r="M240" s="939">
        <v>45995</v>
      </c>
      <c r="N240" s="939">
        <v>45992</v>
      </c>
      <c r="O240" s="850"/>
      <c r="P240" s="938" t="s">
        <v>46</v>
      </c>
      <c r="Q240" s="838"/>
      <c r="R240" s="952">
        <v>45953</v>
      </c>
      <c r="S240" s="838" t="s">
        <v>58</v>
      </c>
      <c r="T240" s="863" t="s">
        <v>1989</v>
      </c>
      <c r="U240" s="954" t="s">
        <v>1990</v>
      </c>
      <c r="V240" s="848" t="s">
        <v>793</v>
      </c>
      <c r="W240" s="865">
        <v>1.1527</v>
      </c>
      <c r="X240" s="866">
        <f t="shared" si="135"/>
        <v>3105.3738</v>
      </c>
      <c r="Y240" s="838" t="s">
        <v>2006</v>
      </c>
      <c r="Z240" s="838" t="s">
        <v>1290</v>
      </c>
      <c r="AA240" s="838" t="s">
        <v>53</v>
      </c>
      <c r="AB240" s="873" t="s">
        <v>54</v>
      </c>
      <c r="AC240" s="838"/>
      <c r="AD240" s="838">
        <v>2694</v>
      </c>
      <c r="AE240" s="874">
        <f t="shared" si="136"/>
        <v>0</v>
      </c>
      <c r="AF240" s="967"/>
      <c r="AG240" s="838" t="s">
        <v>55</v>
      </c>
      <c r="AH240" s="838"/>
      <c r="AI240" s="838">
        <f t="shared" si="137"/>
        <v>2694</v>
      </c>
      <c r="AJ240" s="838"/>
      <c r="AK240" s="838">
        <f t="shared" si="138"/>
        <v>2694</v>
      </c>
      <c r="AN240" s="838"/>
      <c r="AO240" s="838"/>
      <c r="AP240" s="973"/>
      <c r="AQ240" s="838">
        <f t="shared" si="139"/>
        <v>2694</v>
      </c>
      <c r="AR240" s="838"/>
      <c r="AS240" s="838"/>
      <c r="AT240" s="838"/>
      <c r="AZ240" s="803">
        <f t="shared" si="140"/>
        <v>449</v>
      </c>
      <c r="BC240" s="970"/>
      <c r="BS240" s="888">
        <f t="shared" si="117"/>
        <v>2694</v>
      </c>
      <c r="BT240" s="889">
        <f t="shared" si="118"/>
        <v>2622756</v>
      </c>
      <c r="BU240" s="892"/>
      <c r="BV240" s="892"/>
      <c r="BW240" s="892"/>
      <c r="BX240" s="892"/>
      <c r="BY240" s="891">
        <f t="shared" si="108"/>
        <v>197244</v>
      </c>
      <c r="CA240" s="805">
        <f t="shared" si="119"/>
        <v>0</v>
      </c>
      <c r="CB240" s="888">
        <f t="shared" si="120"/>
        <v>50866.5714285714</v>
      </c>
      <c r="CC240" s="892"/>
      <c r="CD240" s="892"/>
      <c r="CE240" s="892"/>
      <c r="CF240" s="888">
        <f t="shared" si="109"/>
        <v>9133.4285714286</v>
      </c>
      <c r="CG240" s="892"/>
    </row>
    <row r="241" s="803" customFormat="1" ht="32" hidden="1" customHeight="1" spans="1:85">
      <c r="A241" s="919">
        <v>45953</v>
      </c>
      <c r="B241" s="920" t="s">
        <v>1987</v>
      </c>
      <c r="C241" s="921" t="s">
        <v>84</v>
      </c>
      <c r="D241" s="922">
        <v>4500182963</v>
      </c>
      <c r="E241" s="920">
        <v>4559335069</v>
      </c>
      <c r="F241" s="922" t="s">
        <v>2007</v>
      </c>
      <c r="G241" s="838" t="s">
        <v>1290</v>
      </c>
      <c r="H241" s="838" t="s">
        <v>1140</v>
      </c>
      <c r="I241" s="838">
        <v>2202</v>
      </c>
      <c r="J241" s="838">
        <v>0</v>
      </c>
      <c r="K241" s="838">
        <v>6</v>
      </c>
      <c r="L241" s="847">
        <f t="shared" si="110"/>
        <v>367</v>
      </c>
      <c r="M241" s="939">
        <v>45995</v>
      </c>
      <c r="N241" s="939">
        <v>45992</v>
      </c>
      <c r="O241" s="850"/>
      <c r="P241" s="938" t="s">
        <v>46</v>
      </c>
      <c r="Q241" s="838"/>
      <c r="R241" s="952">
        <v>45953</v>
      </c>
      <c r="S241" s="838" t="s">
        <v>58</v>
      </c>
      <c r="T241" s="863" t="s">
        <v>1989</v>
      </c>
      <c r="U241" s="954" t="s">
        <v>1990</v>
      </c>
      <c r="V241" s="848" t="s">
        <v>793</v>
      </c>
      <c r="W241" s="865">
        <v>1.1527</v>
      </c>
      <c r="X241" s="866">
        <f t="shared" si="135"/>
        <v>2538.2454</v>
      </c>
      <c r="Y241" s="838" t="s">
        <v>2008</v>
      </c>
      <c r="Z241" s="838" t="s">
        <v>1290</v>
      </c>
      <c r="AA241" s="838" t="s">
        <v>53</v>
      </c>
      <c r="AB241" s="873" t="s">
        <v>54</v>
      </c>
      <c r="AC241" s="838"/>
      <c r="AD241" s="838">
        <v>2202</v>
      </c>
      <c r="AE241" s="874">
        <f t="shared" si="136"/>
        <v>0</v>
      </c>
      <c r="AF241" s="967"/>
      <c r="AG241" s="838" t="s">
        <v>55</v>
      </c>
      <c r="AH241" s="838"/>
      <c r="AI241" s="838">
        <f t="shared" si="137"/>
        <v>2202</v>
      </c>
      <c r="AJ241" s="838"/>
      <c r="AK241" s="838">
        <f t="shared" si="138"/>
        <v>2202</v>
      </c>
      <c r="AN241" s="838"/>
      <c r="AO241" s="838"/>
      <c r="AP241" s="973"/>
      <c r="AQ241" s="838">
        <f t="shared" si="139"/>
        <v>2202</v>
      </c>
      <c r="AR241" s="838"/>
      <c r="AS241" s="838"/>
      <c r="AT241" s="838"/>
      <c r="AZ241" s="803">
        <f t="shared" si="140"/>
        <v>367</v>
      </c>
      <c r="BC241" s="970"/>
      <c r="BS241" s="888">
        <f t="shared" si="117"/>
        <v>2202</v>
      </c>
      <c r="BT241" s="889">
        <f t="shared" si="118"/>
        <v>2624958</v>
      </c>
      <c r="BU241" s="892"/>
      <c r="BV241" s="892"/>
      <c r="BW241" s="892"/>
      <c r="BX241" s="892"/>
      <c r="BY241" s="891">
        <f t="shared" si="108"/>
        <v>195042</v>
      </c>
      <c r="CA241" s="805">
        <f t="shared" si="119"/>
        <v>0</v>
      </c>
      <c r="CB241" s="888">
        <f t="shared" si="120"/>
        <v>50866.5714285714</v>
      </c>
      <c r="CC241" s="892"/>
      <c r="CD241" s="892"/>
      <c r="CE241" s="892"/>
      <c r="CF241" s="888">
        <f t="shared" si="109"/>
        <v>9133.4285714286</v>
      </c>
      <c r="CG241" s="892"/>
    </row>
    <row r="242" s="803" customFormat="1" ht="32" hidden="1" customHeight="1" spans="1:85">
      <c r="A242" s="919">
        <v>45953</v>
      </c>
      <c r="B242" s="920" t="s">
        <v>1987</v>
      </c>
      <c r="C242" s="921" t="s">
        <v>84</v>
      </c>
      <c r="D242" s="922">
        <v>4500182963</v>
      </c>
      <c r="E242" s="920">
        <v>4559334865</v>
      </c>
      <c r="F242" s="922" t="s">
        <v>2009</v>
      </c>
      <c r="G242" s="838" t="s">
        <v>1290</v>
      </c>
      <c r="H242" s="838" t="s">
        <v>1140</v>
      </c>
      <c r="I242" s="838">
        <v>924</v>
      </c>
      <c r="J242" s="838">
        <v>0</v>
      </c>
      <c r="K242" s="838">
        <v>6</v>
      </c>
      <c r="L242" s="847">
        <f t="shared" si="110"/>
        <v>154</v>
      </c>
      <c r="M242" s="939">
        <v>45995</v>
      </c>
      <c r="N242" s="939">
        <v>45992</v>
      </c>
      <c r="O242" s="850"/>
      <c r="P242" s="938" t="s">
        <v>46</v>
      </c>
      <c r="Q242" s="838"/>
      <c r="R242" s="952">
        <v>45953</v>
      </c>
      <c r="S242" s="838" t="s">
        <v>58</v>
      </c>
      <c r="T242" s="863" t="s">
        <v>1989</v>
      </c>
      <c r="U242" s="954" t="s">
        <v>1990</v>
      </c>
      <c r="V242" s="848" t="s">
        <v>793</v>
      </c>
      <c r="W242" s="865">
        <v>1.1527</v>
      </c>
      <c r="X242" s="866">
        <f t="shared" si="135"/>
        <v>1065.0948</v>
      </c>
      <c r="Y242" s="838" t="s">
        <v>2010</v>
      </c>
      <c r="Z242" s="838" t="s">
        <v>1290</v>
      </c>
      <c r="AA242" s="838" t="s">
        <v>53</v>
      </c>
      <c r="AB242" s="873" t="s">
        <v>54</v>
      </c>
      <c r="AC242" s="838"/>
      <c r="AD242" s="838">
        <v>924</v>
      </c>
      <c r="AE242" s="874">
        <f t="shared" si="136"/>
        <v>0</v>
      </c>
      <c r="AF242" s="967"/>
      <c r="AG242" s="838" t="s">
        <v>55</v>
      </c>
      <c r="AH242" s="838"/>
      <c r="AI242" s="838">
        <f t="shared" si="137"/>
        <v>924</v>
      </c>
      <c r="AJ242" s="838"/>
      <c r="AK242" s="838">
        <f t="shared" si="138"/>
        <v>924</v>
      </c>
      <c r="AN242" s="838"/>
      <c r="AO242" s="838"/>
      <c r="AP242" s="973"/>
      <c r="AQ242" s="838">
        <f t="shared" si="139"/>
        <v>924</v>
      </c>
      <c r="AR242" s="838"/>
      <c r="AS242" s="838"/>
      <c r="AT242" s="838"/>
      <c r="AZ242" s="803">
        <f t="shared" si="140"/>
        <v>154</v>
      </c>
      <c r="BC242" s="970"/>
      <c r="BS242" s="888">
        <f t="shared" si="117"/>
        <v>924</v>
      </c>
      <c r="BT242" s="889">
        <f t="shared" si="118"/>
        <v>2625882</v>
      </c>
      <c r="BU242" s="892"/>
      <c r="BV242" s="892"/>
      <c r="BW242" s="892"/>
      <c r="BX242" s="892"/>
      <c r="BY242" s="891">
        <f t="shared" si="108"/>
        <v>194118</v>
      </c>
      <c r="CA242" s="805">
        <f t="shared" si="119"/>
        <v>0</v>
      </c>
      <c r="CB242" s="888">
        <f t="shared" si="120"/>
        <v>50866.5714285714</v>
      </c>
      <c r="CC242" s="892"/>
      <c r="CD242" s="892"/>
      <c r="CE242" s="892"/>
      <c r="CF242" s="888">
        <f t="shared" si="109"/>
        <v>9133.4285714286</v>
      </c>
      <c r="CG242" s="892"/>
    </row>
    <row r="243" s="803" customFormat="1" ht="32" hidden="1" customHeight="1" spans="1:85">
      <c r="A243" s="919">
        <v>45953</v>
      </c>
      <c r="B243" s="920" t="s">
        <v>1987</v>
      </c>
      <c r="C243" s="921" t="s">
        <v>84</v>
      </c>
      <c r="D243" s="922">
        <v>4500182963</v>
      </c>
      <c r="E243" s="920">
        <v>4559335082</v>
      </c>
      <c r="F243" s="922" t="s">
        <v>2011</v>
      </c>
      <c r="G243" s="838" t="s">
        <v>1290</v>
      </c>
      <c r="H243" s="838" t="s">
        <v>1140</v>
      </c>
      <c r="I243" s="838">
        <v>3246</v>
      </c>
      <c r="J243" s="838">
        <v>0</v>
      </c>
      <c r="K243" s="838">
        <v>6</v>
      </c>
      <c r="L243" s="847">
        <f t="shared" si="110"/>
        <v>541</v>
      </c>
      <c r="M243" s="939">
        <v>45995</v>
      </c>
      <c r="N243" s="939">
        <v>45992</v>
      </c>
      <c r="O243" s="850"/>
      <c r="P243" s="938" t="s">
        <v>46</v>
      </c>
      <c r="Q243" s="838"/>
      <c r="R243" s="952">
        <v>45953</v>
      </c>
      <c r="S243" s="838" t="s">
        <v>58</v>
      </c>
      <c r="T243" s="863" t="s">
        <v>1989</v>
      </c>
      <c r="U243" s="954" t="s">
        <v>1990</v>
      </c>
      <c r="V243" s="848" t="s">
        <v>793</v>
      </c>
      <c r="W243" s="865">
        <v>1.1493</v>
      </c>
      <c r="X243" s="866">
        <f t="shared" si="135"/>
        <v>3730.6278</v>
      </c>
      <c r="Y243" s="838" t="s">
        <v>2012</v>
      </c>
      <c r="Z243" s="838" t="s">
        <v>1290</v>
      </c>
      <c r="AA243" s="838" t="s">
        <v>53</v>
      </c>
      <c r="AB243" s="873" t="s">
        <v>54</v>
      </c>
      <c r="AC243" s="838"/>
      <c r="AD243" s="838">
        <v>3246</v>
      </c>
      <c r="AE243" s="874">
        <f t="shared" si="136"/>
        <v>0</v>
      </c>
      <c r="AF243" s="967"/>
      <c r="AG243" s="838" t="s">
        <v>55</v>
      </c>
      <c r="AH243" s="838"/>
      <c r="AI243" s="838">
        <f t="shared" si="137"/>
        <v>3246</v>
      </c>
      <c r="AJ243" s="838"/>
      <c r="AK243" s="838">
        <f t="shared" si="138"/>
        <v>3246</v>
      </c>
      <c r="AN243" s="838"/>
      <c r="AO243" s="838"/>
      <c r="AP243" s="973"/>
      <c r="AQ243" s="838">
        <f t="shared" si="139"/>
        <v>3246</v>
      </c>
      <c r="AR243" s="838"/>
      <c r="AS243" s="838"/>
      <c r="AT243" s="838"/>
      <c r="AZ243" s="803">
        <f t="shared" si="140"/>
        <v>541</v>
      </c>
      <c r="BC243" s="970"/>
      <c r="BS243" s="888">
        <f t="shared" si="117"/>
        <v>3246</v>
      </c>
      <c r="BT243" s="889">
        <f t="shared" si="118"/>
        <v>2629128</v>
      </c>
      <c r="BU243" s="892"/>
      <c r="BV243" s="892"/>
      <c r="BW243" s="892"/>
      <c r="BX243" s="892"/>
      <c r="BY243" s="891">
        <f t="shared" si="108"/>
        <v>190872</v>
      </c>
      <c r="CA243" s="805">
        <f t="shared" si="119"/>
        <v>0</v>
      </c>
      <c r="CB243" s="888">
        <f t="shared" si="120"/>
        <v>50866.5714285714</v>
      </c>
      <c r="CC243" s="892"/>
      <c r="CD243" s="892"/>
      <c r="CE243" s="892"/>
      <c r="CF243" s="888">
        <f t="shared" si="109"/>
        <v>9133.4285714286</v>
      </c>
      <c r="CG243" s="892"/>
    </row>
    <row r="244" s="803" customFormat="1" ht="32" hidden="1" customHeight="1" spans="1:85">
      <c r="A244" s="919">
        <v>45953</v>
      </c>
      <c r="B244" s="920" t="s">
        <v>1987</v>
      </c>
      <c r="C244" s="921" t="s">
        <v>84</v>
      </c>
      <c r="D244" s="922">
        <v>4500182963</v>
      </c>
      <c r="E244" s="920">
        <v>4559334515</v>
      </c>
      <c r="F244" s="922" t="s">
        <v>2013</v>
      </c>
      <c r="G244" s="838" t="s">
        <v>1290</v>
      </c>
      <c r="H244" s="838" t="s">
        <v>1140</v>
      </c>
      <c r="I244" s="838">
        <v>1944</v>
      </c>
      <c r="J244" s="838">
        <v>0</v>
      </c>
      <c r="K244" s="838">
        <v>6</v>
      </c>
      <c r="L244" s="847">
        <f t="shared" si="110"/>
        <v>324</v>
      </c>
      <c r="M244" s="939">
        <v>45995</v>
      </c>
      <c r="N244" s="939">
        <v>45992</v>
      </c>
      <c r="O244" s="850"/>
      <c r="P244" s="938" t="s">
        <v>46</v>
      </c>
      <c r="Q244" s="838"/>
      <c r="R244" s="952">
        <v>45953</v>
      </c>
      <c r="S244" s="838" t="s">
        <v>58</v>
      </c>
      <c r="T244" s="863" t="s">
        <v>1989</v>
      </c>
      <c r="U244" s="954" t="s">
        <v>1990</v>
      </c>
      <c r="V244" s="848" t="s">
        <v>793</v>
      </c>
      <c r="W244" s="865">
        <v>1.1527</v>
      </c>
      <c r="X244" s="866">
        <f t="shared" si="135"/>
        <v>2240.8488</v>
      </c>
      <c r="Y244" s="838" t="s">
        <v>2014</v>
      </c>
      <c r="Z244" s="838" t="s">
        <v>1290</v>
      </c>
      <c r="AA244" s="838" t="s">
        <v>53</v>
      </c>
      <c r="AB244" s="873" t="s">
        <v>54</v>
      </c>
      <c r="AC244" s="838"/>
      <c r="AD244" s="838">
        <f>1926+18</f>
        <v>1944</v>
      </c>
      <c r="AE244" s="874">
        <f t="shared" si="136"/>
        <v>0</v>
      </c>
      <c r="AF244" s="967"/>
      <c r="AG244" s="838" t="s">
        <v>55</v>
      </c>
      <c r="AH244" s="838"/>
      <c r="AI244" s="838">
        <f t="shared" si="137"/>
        <v>1944</v>
      </c>
      <c r="AJ244" s="838"/>
      <c r="AK244" s="838">
        <f t="shared" si="138"/>
        <v>1944</v>
      </c>
      <c r="AN244" s="838"/>
      <c r="AO244" s="838"/>
      <c r="AP244" s="973"/>
      <c r="AQ244" s="838">
        <f t="shared" si="139"/>
        <v>1944</v>
      </c>
      <c r="AR244" s="838"/>
      <c r="AS244" s="838"/>
      <c r="AT244" s="838"/>
      <c r="AZ244" s="803">
        <f t="shared" si="140"/>
        <v>324</v>
      </c>
      <c r="BC244" s="970"/>
      <c r="BS244" s="888">
        <f t="shared" si="117"/>
        <v>1944</v>
      </c>
      <c r="BT244" s="889">
        <f t="shared" si="118"/>
        <v>2631072</v>
      </c>
      <c r="BU244" s="892"/>
      <c r="BV244" s="892"/>
      <c r="BW244" s="892"/>
      <c r="BX244" s="892"/>
      <c r="BY244" s="891">
        <f t="shared" si="108"/>
        <v>188928</v>
      </c>
      <c r="CA244" s="805">
        <f t="shared" si="119"/>
        <v>0</v>
      </c>
      <c r="CB244" s="888">
        <f t="shared" si="120"/>
        <v>50866.5714285714</v>
      </c>
      <c r="CC244" s="892"/>
      <c r="CD244" s="892"/>
      <c r="CE244" s="892"/>
      <c r="CF244" s="888">
        <f t="shared" si="109"/>
        <v>9133.4285714286</v>
      </c>
      <c r="CG244" s="892"/>
    </row>
    <row r="245" s="803" customFormat="1" ht="32" hidden="1" customHeight="1" spans="1:85">
      <c r="A245" s="919">
        <v>45965</v>
      </c>
      <c r="B245" s="920" t="s">
        <v>1145</v>
      </c>
      <c r="C245" s="921" t="s">
        <v>84</v>
      </c>
      <c r="D245" s="922">
        <v>4500184367</v>
      </c>
      <c r="E245" s="920">
        <v>60260987</v>
      </c>
      <c r="F245" s="922" t="s">
        <v>2015</v>
      </c>
      <c r="G245" s="838" t="s">
        <v>1147</v>
      </c>
      <c r="H245" s="838" t="s">
        <v>1148</v>
      </c>
      <c r="I245" s="838">
        <v>2004</v>
      </c>
      <c r="J245" s="838">
        <v>0</v>
      </c>
      <c r="K245" s="838">
        <v>12</v>
      </c>
      <c r="L245" s="847">
        <f t="shared" si="110"/>
        <v>167</v>
      </c>
      <c r="M245" s="848">
        <v>45996</v>
      </c>
      <c r="N245" s="848">
        <v>45992</v>
      </c>
      <c r="O245" s="850"/>
      <c r="P245" s="938" t="s">
        <v>46</v>
      </c>
      <c r="Q245" s="838"/>
      <c r="R245" s="952">
        <v>45965</v>
      </c>
      <c r="S245" s="838" t="s">
        <v>58</v>
      </c>
      <c r="T245" s="863" t="s">
        <v>1324</v>
      </c>
      <c r="U245" s="953" t="s">
        <v>2016</v>
      </c>
      <c r="V245" s="848" t="s">
        <v>1788</v>
      </c>
      <c r="W245" s="953">
        <v>2.3946</v>
      </c>
      <c r="X245" s="866">
        <f t="shared" si="135"/>
        <v>4798.7784</v>
      </c>
      <c r="Y245" s="838" t="s">
        <v>2017</v>
      </c>
      <c r="Z245" s="838" t="s">
        <v>1884</v>
      </c>
      <c r="AA245" s="838" t="s">
        <v>53</v>
      </c>
      <c r="AB245" s="873" t="s">
        <v>54</v>
      </c>
      <c r="AC245" s="838"/>
      <c r="AD245" s="838">
        <v>2004</v>
      </c>
      <c r="AE245" s="874">
        <f t="shared" si="136"/>
        <v>0</v>
      </c>
      <c r="AF245" s="967"/>
      <c r="AG245" s="838" t="s">
        <v>55</v>
      </c>
      <c r="AH245" s="838"/>
      <c r="AI245" s="838">
        <f>I245*2</f>
        <v>4008</v>
      </c>
      <c r="AJ245" s="838"/>
      <c r="AK245" s="838">
        <f>I245*2</f>
        <v>4008</v>
      </c>
      <c r="AN245" s="838"/>
      <c r="AO245" s="838"/>
      <c r="AP245" s="973"/>
      <c r="AQ245" s="838">
        <f>I245*2</f>
        <v>4008</v>
      </c>
      <c r="AR245" s="838"/>
      <c r="AS245" s="838"/>
      <c r="AT245" s="838"/>
      <c r="BC245" s="970"/>
      <c r="BL245" s="803">
        <f>I245</f>
        <v>2004</v>
      </c>
      <c r="BM245" s="803">
        <f>I245</f>
        <v>2004</v>
      </c>
      <c r="BO245" s="803">
        <f>I245</f>
        <v>2004</v>
      </c>
      <c r="BS245" s="888">
        <f t="shared" si="117"/>
        <v>4008</v>
      </c>
      <c r="BT245" s="889">
        <f t="shared" si="118"/>
        <v>2635080</v>
      </c>
      <c r="BU245" s="892"/>
      <c r="BV245" s="892"/>
      <c r="BW245" s="892"/>
      <c r="BX245" s="892"/>
      <c r="BY245" s="891">
        <f t="shared" si="108"/>
        <v>184920</v>
      </c>
      <c r="CA245" s="805">
        <f t="shared" si="119"/>
        <v>0</v>
      </c>
      <c r="CB245" s="888">
        <f t="shared" si="120"/>
        <v>50866.5714285714</v>
      </c>
      <c r="CC245" s="892"/>
      <c r="CD245" s="892"/>
      <c r="CE245" s="892"/>
      <c r="CF245" s="888">
        <f t="shared" si="109"/>
        <v>9133.4285714286</v>
      </c>
      <c r="CG245" s="892"/>
    </row>
    <row r="246" s="803" customFormat="1" ht="32" customHeight="1" spans="1:85">
      <c r="A246" s="919">
        <v>45930</v>
      </c>
      <c r="B246" s="920" t="s">
        <v>647</v>
      </c>
      <c r="C246" s="921" t="s">
        <v>648</v>
      </c>
      <c r="D246" s="922">
        <v>4500181141</v>
      </c>
      <c r="E246" s="920" t="s">
        <v>649</v>
      </c>
      <c r="F246" s="923" t="s">
        <v>2018</v>
      </c>
      <c r="G246" s="838" t="s">
        <v>1155</v>
      </c>
      <c r="H246" s="838" t="s">
        <v>1140</v>
      </c>
      <c r="I246" s="838">
        <v>400</v>
      </c>
      <c r="J246" s="838">
        <v>0</v>
      </c>
      <c r="K246" s="838">
        <v>50</v>
      </c>
      <c r="L246" s="847">
        <f t="shared" si="110"/>
        <v>8</v>
      </c>
      <c r="M246" s="848">
        <v>45996</v>
      </c>
      <c r="N246" s="848">
        <v>45992</v>
      </c>
      <c r="O246" s="850"/>
      <c r="P246" s="938" t="s">
        <v>46</v>
      </c>
      <c r="Q246" s="838"/>
      <c r="R246" s="952">
        <v>45930</v>
      </c>
      <c r="S246" s="952" t="s">
        <v>58</v>
      </c>
      <c r="T246" s="956" t="s">
        <v>2019</v>
      </c>
      <c r="U246" s="953" t="s">
        <v>2020</v>
      </c>
      <c r="V246" s="848" t="s">
        <v>653</v>
      </c>
      <c r="W246" s="865">
        <v>1.9605</v>
      </c>
      <c r="X246" s="866">
        <f t="shared" si="135"/>
        <v>784.2</v>
      </c>
      <c r="Y246" s="838" t="s">
        <v>2021</v>
      </c>
      <c r="Z246" s="838" t="s">
        <v>1160</v>
      </c>
      <c r="AA246" s="838" t="s">
        <v>53</v>
      </c>
      <c r="AB246" s="873" t="s">
        <v>54</v>
      </c>
      <c r="AC246" s="838"/>
      <c r="AD246" s="838">
        <v>400</v>
      </c>
      <c r="AE246" s="874">
        <f t="shared" si="136"/>
        <v>0</v>
      </c>
      <c r="AF246" s="967"/>
      <c r="AG246" s="838" t="s">
        <v>55</v>
      </c>
      <c r="AH246" s="838"/>
      <c r="AI246" s="838">
        <f t="shared" si="137"/>
        <v>400</v>
      </c>
      <c r="AJ246" s="838"/>
      <c r="AK246" s="970"/>
      <c r="AN246" s="838">
        <f>I246</f>
        <v>400</v>
      </c>
      <c r="AO246" s="838"/>
      <c r="AP246" s="973"/>
      <c r="AQ246" s="838">
        <f t="shared" si="139"/>
        <v>400</v>
      </c>
      <c r="AR246" s="838"/>
      <c r="AS246" s="838"/>
      <c r="AT246" s="838"/>
      <c r="BC246" s="970"/>
      <c r="BD246" s="803">
        <f>I246/25</f>
        <v>16</v>
      </c>
      <c r="BS246" s="888">
        <f t="shared" si="117"/>
        <v>400</v>
      </c>
      <c r="BT246" s="889">
        <f t="shared" si="118"/>
        <v>2635480</v>
      </c>
      <c r="BU246" s="892"/>
      <c r="BV246" s="892"/>
      <c r="BW246" s="892"/>
      <c r="BX246" s="892"/>
      <c r="BY246" s="891">
        <f t="shared" si="108"/>
        <v>184520</v>
      </c>
      <c r="CA246" s="805">
        <f t="shared" si="119"/>
        <v>16</v>
      </c>
      <c r="CB246" s="888">
        <f t="shared" si="120"/>
        <v>50882.5714285714</v>
      </c>
      <c r="CC246" s="892"/>
      <c r="CD246" s="892"/>
      <c r="CE246" s="892"/>
      <c r="CF246" s="888">
        <f t="shared" si="109"/>
        <v>9117.4285714286</v>
      </c>
      <c r="CG246" s="892"/>
    </row>
    <row r="247" s="803" customFormat="1" ht="32" hidden="1" customHeight="1" spans="1:85">
      <c r="A247" s="919">
        <v>45960</v>
      </c>
      <c r="B247" s="920" t="s">
        <v>1255</v>
      </c>
      <c r="C247" s="921" t="s">
        <v>84</v>
      </c>
      <c r="D247" s="922">
        <v>4500183797</v>
      </c>
      <c r="E247" s="920" t="s">
        <v>2022</v>
      </c>
      <c r="F247" s="923" t="s">
        <v>2023</v>
      </c>
      <c r="G247" s="838" t="s">
        <v>1147</v>
      </c>
      <c r="H247" s="838" t="s">
        <v>1148</v>
      </c>
      <c r="I247" s="838">
        <v>996</v>
      </c>
      <c r="J247" s="838">
        <v>0</v>
      </c>
      <c r="K247" s="838">
        <v>12</v>
      </c>
      <c r="L247" s="847">
        <f t="shared" si="110"/>
        <v>83</v>
      </c>
      <c r="M247" s="848">
        <v>45996</v>
      </c>
      <c r="N247" s="848">
        <v>45992</v>
      </c>
      <c r="O247" s="850"/>
      <c r="P247" s="938" t="s">
        <v>46</v>
      </c>
      <c r="Q247" s="838"/>
      <c r="R247" s="952">
        <v>45965</v>
      </c>
      <c r="S247" s="952" t="s">
        <v>58</v>
      </c>
      <c r="T247" s="957" t="s">
        <v>2024</v>
      </c>
      <c r="U247" s="953" t="s">
        <v>2025</v>
      </c>
      <c r="V247" s="848" t="s">
        <v>1260</v>
      </c>
      <c r="W247" s="953">
        <v>2.4244</v>
      </c>
      <c r="X247" s="866">
        <f t="shared" si="135"/>
        <v>2414.7024</v>
      </c>
      <c r="Y247" s="838" t="s">
        <v>2026</v>
      </c>
      <c r="Z247" s="838" t="s">
        <v>1884</v>
      </c>
      <c r="AA247" s="838" t="s">
        <v>53</v>
      </c>
      <c r="AB247" s="873" t="s">
        <v>54</v>
      </c>
      <c r="AC247" s="838"/>
      <c r="AD247" s="838">
        <v>996</v>
      </c>
      <c r="AE247" s="874">
        <f t="shared" si="136"/>
        <v>0</v>
      </c>
      <c r="AF247" s="967"/>
      <c r="AG247" s="838" t="s">
        <v>55</v>
      </c>
      <c r="AH247" s="838"/>
      <c r="AI247" s="838">
        <f>I247*2</f>
        <v>1992</v>
      </c>
      <c r="AJ247" s="838"/>
      <c r="AK247" s="970">
        <f>I247*2</f>
        <v>1992</v>
      </c>
      <c r="AN247" s="838"/>
      <c r="AO247" s="838"/>
      <c r="AP247" s="973"/>
      <c r="AQ247" s="838">
        <f>I247*2</f>
        <v>1992</v>
      </c>
      <c r="AR247" s="838"/>
      <c r="AS247" s="838"/>
      <c r="AT247" s="838"/>
      <c r="BC247" s="970"/>
      <c r="BL247" s="803">
        <f>I247</f>
        <v>996</v>
      </c>
      <c r="BM247" s="803">
        <f>I247</f>
        <v>996</v>
      </c>
      <c r="BO247" s="803">
        <f>I247</f>
        <v>996</v>
      </c>
      <c r="BS247" s="888">
        <f t="shared" si="117"/>
        <v>1992</v>
      </c>
      <c r="BT247" s="889">
        <f t="shared" si="118"/>
        <v>2637472</v>
      </c>
      <c r="BU247" s="892"/>
      <c r="BV247" s="892"/>
      <c r="BW247" s="892"/>
      <c r="BX247" s="892"/>
      <c r="BY247" s="891">
        <f t="shared" si="108"/>
        <v>182528</v>
      </c>
      <c r="CA247" s="805">
        <f t="shared" si="119"/>
        <v>0</v>
      </c>
      <c r="CB247" s="888">
        <f t="shared" si="120"/>
        <v>50882.5714285714</v>
      </c>
      <c r="CC247" s="892"/>
      <c r="CD247" s="892"/>
      <c r="CE247" s="892"/>
      <c r="CF247" s="888">
        <f t="shared" si="109"/>
        <v>9117.4285714286</v>
      </c>
      <c r="CG247" s="892"/>
    </row>
    <row r="248" s="803" customFormat="1" ht="32" hidden="1" customHeight="1" spans="1:85">
      <c r="A248" s="919">
        <v>45960</v>
      </c>
      <c r="B248" s="920" t="s">
        <v>1255</v>
      </c>
      <c r="C248" s="921" t="s">
        <v>84</v>
      </c>
      <c r="D248" s="922">
        <v>4500183798</v>
      </c>
      <c r="E248" s="920" t="s">
        <v>2027</v>
      </c>
      <c r="F248" s="923" t="s">
        <v>2028</v>
      </c>
      <c r="G248" s="838" t="s">
        <v>1147</v>
      </c>
      <c r="H248" s="838" t="s">
        <v>1148</v>
      </c>
      <c r="I248" s="838">
        <v>1200</v>
      </c>
      <c r="J248" s="838">
        <v>0</v>
      </c>
      <c r="K248" s="838">
        <v>12</v>
      </c>
      <c r="L248" s="847">
        <f t="shared" si="110"/>
        <v>100</v>
      </c>
      <c r="M248" s="848">
        <v>45996</v>
      </c>
      <c r="N248" s="848">
        <v>45992</v>
      </c>
      <c r="O248" s="850"/>
      <c r="P248" s="938" t="s">
        <v>46</v>
      </c>
      <c r="Q248" s="838"/>
      <c r="R248" s="952">
        <v>45965</v>
      </c>
      <c r="S248" s="952" t="s">
        <v>58</v>
      </c>
      <c r="T248" s="957" t="s">
        <v>2024</v>
      </c>
      <c r="U248" s="953" t="s">
        <v>2025</v>
      </c>
      <c r="V248" s="848" t="s">
        <v>1260</v>
      </c>
      <c r="W248" s="953">
        <v>2.4244</v>
      </c>
      <c r="X248" s="866">
        <f t="shared" si="135"/>
        <v>2909.28</v>
      </c>
      <c r="Y248" s="838" t="s">
        <v>2029</v>
      </c>
      <c r="Z248" s="838" t="s">
        <v>1884</v>
      </c>
      <c r="AA248" s="838" t="s">
        <v>53</v>
      </c>
      <c r="AB248" s="873" t="s">
        <v>54</v>
      </c>
      <c r="AC248" s="838"/>
      <c r="AD248" s="838">
        <v>1200</v>
      </c>
      <c r="AE248" s="874">
        <f t="shared" si="136"/>
        <v>0</v>
      </c>
      <c r="AF248" s="967"/>
      <c r="AG248" s="838" t="s">
        <v>55</v>
      </c>
      <c r="AH248" s="838"/>
      <c r="AI248" s="838">
        <f>I248*2</f>
        <v>2400</v>
      </c>
      <c r="AJ248" s="838"/>
      <c r="AK248" s="970">
        <f>I248*2</f>
        <v>2400</v>
      </c>
      <c r="AN248" s="838"/>
      <c r="AO248" s="838"/>
      <c r="AP248" s="973"/>
      <c r="AQ248" s="838">
        <f>I248*2</f>
        <v>2400</v>
      </c>
      <c r="AR248" s="838"/>
      <c r="AS248" s="838"/>
      <c r="AT248" s="838"/>
      <c r="BC248" s="970"/>
      <c r="BL248" s="803">
        <f>I248</f>
        <v>1200</v>
      </c>
      <c r="BM248" s="803">
        <f>I248</f>
        <v>1200</v>
      </c>
      <c r="BO248" s="803">
        <f>I248</f>
        <v>1200</v>
      </c>
      <c r="BS248" s="888">
        <f t="shared" si="117"/>
        <v>2400</v>
      </c>
      <c r="BT248" s="889">
        <f t="shared" si="118"/>
        <v>2639872</v>
      </c>
      <c r="BU248" s="892"/>
      <c r="BV248" s="892"/>
      <c r="BW248" s="892"/>
      <c r="BX248" s="892"/>
      <c r="BY248" s="891">
        <f t="shared" si="108"/>
        <v>180128</v>
      </c>
      <c r="CA248" s="805">
        <f t="shared" si="119"/>
        <v>0</v>
      </c>
      <c r="CB248" s="888">
        <f t="shared" si="120"/>
        <v>50882.5714285714</v>
      </c>
      <c r="CC248" s="892"/>
      <c r="CD248" s="892"/>
      <c r="CE248" s="892"/>
      <c r="CF248" s="888">
        <f t="shared" si="109"/>
        <v>9117.4285714286</v>
      </c>
      <c r="CG248" s="892"/>
    </row>
    <row r="249" s="803" customFormat="1" ht="32" customHeight="1" spans="1:85">
      <c r="A249" s="919">
        <v>45968</v>
      </c>
      <c r="B249" s="920" t="s">
        <v>2030</v>
      </c>
      <c r="C249" s="921" t="s">
        <v>2031</v>
      </c>
      <c r="D249" s="922">
        <v>4500184858</v>
      </c>
      <c r="E249" s="920"/>
      <c r="F249" s="922" t="s">
        <v>2032</v>
      </c>
      <c r="G249" s="838" t="s">
        <v>1155</v>
      </c>
      <c r="H249" s="838" t="s">
        <v>1140</v>
      </c>
      <c r="I249" s="838">
        <v>250</v>
      </c>
      <c r="J249" s="838">
        <v>0</v>
      </c>
      <c r="K249" s="838">
        <v>50</v>
      </c>
      <c r="L249" s="847">
        <f t="shared" si="110"/>
        <v>5</v>
      </c>
      <c r="M249" s="848">
        <v>45999</v>
      </c>
      <c r="N249" s="848">
        <v>45995</v>
      </c>
      <c r="O249" s="850"/>
      <c r="P249" s="938" t="s">
        <v>46</v>
      </c>
      <c r="Q249" s="838"/>
      <c r="R249" s="952">
        <v>45968</v>
      </c>
      <c r="S249" s="838" t="s">
        <v>58</v>
      </c>
      <c r="T249" s="863" t="s">
        <v>58</v>
      </c>
      <c r="U249" s="953" t="s">
        <v>1874</v>
      </c>
      <c r="V249" s="848" t="s">
        <v>328</v>
      </c>
      <c r="W249" s="865">
        <v>1.9438</v>
      </c>
      <c r="X249" s="866">
        <f t="shared" si="135"/>
        <v>485.95</v>
      </c>
      <c r="Y249" s="838" t="s">
        <v>2033</v>
      </c>
      <c r="Z249" s="838" t="s">
        <v>1155</v>
      </c>
      <c r="AA249" s="838" t="s">
        <v>53</v>
      </c>
      <c r="AB249" s="873" t="s">
        <v>54</v>
      </c>
      <c r="AC249" s="838"/>
      <c r="AD249" s="838">
        <v>250</v>
      </c>
      <c r="AE249" s="874">
        <f t="shared" si="136"/>
        <v>0</v>
      </c>
      <c r="AF249" s="967"/>
      <c r="AG249" s="838" t="s">
        <v>58</v>
      </c>
      <c r="AH249" s="838"/>
      <c r="AI249" s="838">
        <f>I249</f>
        <v>250</v>
      </c>
      <c r="AJ249" s="838"/>
      <c r="AK249" s="970">
        <f>I249</f>
        <v>250</v>
      </c>
      <c r="AN249" s="838"/>
      <c r="AO249" s="838"/>
      <c r="AP249" s="974"/>
      <c r="AQ249" s="838">
        <f>I249</f>
        <v>250</v>
      </c>
      <c r="AR249" s="838"/>
      <c r="AS249" s="838"/>
      <c r="AT249" s="838"/>
      <c r="BC249" s="970">
        <f>I249/25</f>
        <v>10</v>
      </c>
      <c r="BS249" s="888">
        <f t="shared" si="117"/>
        <v>250</v>
      </c>
      <c r="BT249" s="889">
        <f t="shared" si="118"/>
        <v>2640122</v>
      </c>
      <c r="BU249" s="892"/>
      <c r="BV249" s="892"/>
      <c r="BW249" s="892"/>
      <c r="BX249" s="892"/>
      <c r="BY249" s="891">
        <f t="shared" si="108"/>
        <v>179878</v>
      </c>
      <c r="CA249" s="805">
        <f t="shared" si="119"/>
        <v>10</v>
      </c>
      <c r="CB249" s="888">
        <f t="shared" si="120"/>
        <v>50892.5714285714</v>
      </c>
      <c r="CC249" s="892"/>
      <c r="CD249" s="892"/>
      <c r="CE249" s="892"/>
      <c r="CF249" s="888">
        <f t="shared" si="109"/>
        <v>9107.4285714286</v>
      </c>
      <c r="CG249" s="892"/>
    </row>
    <row r="250" s="803" customFormat="1" ht="32" hidden="1" customHeight="1" spans="1:85">
      <c r="A250" s="919">
        <v>45968</v>
      </c>
      <c r="B250" s="920" t="s">
        <v>715</v>
      </c>
      <c r="C250" s="921" t="s">
        <v>716</v>
      </c>
      <c r="D250" s="922">
        <v>4500184839</v>
      </c>
      <c r="E250" s="920" t="s">
        <v>2034</v>
      </c>
      <c r="F250" s="922" t="s">
        <v>2035</v>
      </c>
      <c r="G250" s="838" t="s">
        <v>1147</v>
      </c>
      <c r="H250" s="838" t="s">
        <v>1148</v>
      </c>
      <c r="I250" s="838">
        <v>12</v>
      </c>
      <c r="J250" s="838">
        <v>0</v>
      </c>
      <c r="K250" s="838">
        <v>12</v>
      </c>
      <c r="L250" s="847">
        <f t="shared" si="110"/>
        <v>1</v>
      </c>
      <c r="M250" s="848">
        <v>46009</v>
      </c>
      <c r="N250" s="848">
        <v>46006</v>
      </c>
      <c r="O250" s="850"/>
      <c r="P250" s="938" t="s">
        <v>46</v>
      </c>
      <c r="Q250" s="838"/>
      <c r="R250" s="952">
        <v>45968</v>
      </c>
      <c r="S250" s="838" t="s">
        <v>58</v>
      </c>
      <c r="T250" s="863" t="s">
        <v>58</v>
      </c>
      <c r="U250" s="953" t="s">
        <v>2036</v>
      </c>
      <c r="V250" s="848" t="s">
        <v>721</v>
      </c>
      <c r="W250" s="953">
        <v>4.1214</v>
      </c>
      <c r="X250" s="866">
        <f t="shared" si="135"/>
        <v>49.4568</v>
      </c>
      <c r="Y250" s="838" t="s">
        <v>722</v>
      </c>
      <c r="Z250" s="838" t="s">
        <v>1709</v>
      </c>
      <c r="AA250" s="838" t="s">
        <v>53</v>
      </c>
      <c r="AB250" s="873" t="s">
        <v>54</v>
      </c>
      <c r="AC250" s="838"/>
      <c r="AD250" s="838">
        <v>12</v>
      </c>
      <c r="AE250" s="874">
        <f t="shared" si="136"/>
        <v>0</v>
      </c>
      <c r="AF250" s="967"/>
      <c r="AG250" s="838" t="s">
        <v>55</v>
      </c>
      <c r="AH250" s="838"/>
      <c r="AI250" s="838">
        <f t="shared" ref="AI250:AI255" si="141">I250*2</f>
        <v>24</v>
      </c>
      <c r="AJ250" s="838"/>
      <c r="AK250" s="970"/>
      <c r="AM250" s="803">
        <f>I250*2</f>
        <v>24</v>
      </c>
      <c r="AN250" s="838"/>
      <c r="AO250" s="838"/>
      <c r="AP250" s="973"/>
      <c r="AQ250" s="838">
        <f>I250*2</f>
        <v>24</v>
      </c>
      <c r="AR250" s="838"/>
      <c r="AS250" s="838"/>
      <c r="AT250" s="838"/>
      <c r="BC250" s="970"/>
      <c r="BL250" s="803">
        <f>I250</f>
        <v>12</v>
      </c>
      <c r="BM250" s="803">
        <f>I250</f>
        <v>12</v>
      </c>
      <c r="BO250" s="803">
        <f>I250</f>
        <v>12</v>
      </c>
      <c r="BS250" s="888">
        <f t="shared" si="117"/>
        <v>24</v>
      </c>
      <c r="BT250" s="889">
        <f t="shared" si="118"/>
        <v>2640146</v>
      </c>
      <c r="BU250" s="892"/>
      <c r="BV250" s="892"/>
      <c r="BW250" s="892"/>
      <c r="BX250" s="892"/>
      <c r="BY250" s="891">
        <f t="shared" si="108"/>
        <v>179854</v>
      </c>
      <c r="CA250" s="805">
        <f t="shared" si="119"/>
        <v>0</v>
      </c>
      <c r="CB250" s="888">
        <f t="shared" si="120"/>
        <v>50892.5714285714</v>
      </c>
      <c r="CC250" s="892"/>
      <c r="CD250" s="892"/>
      <c r="CE250" s="892"/>
      <c r="CF250" s="888">
        <f t="shared" si="109"/>
        <v>9107.4285714286</v>
      </c>
      <c r="CG250" s="892"/>
    </row>
    <row r="251" s="803" customFormat="1" ht="32" hidden="1" customHeight="1" spans="1:85">
      <c r="A251" s="919">
        <v>45968</v>
      </c>
      <c r="B251" s="920" t="s">
        <v>715</v>
      </c>
      <c r="C251" s="921" t="s">
        <v>716</v>
      </c>
      <c r="D251" s="922">
        <v>4500184839</v>
      </c>
      <c r="E251" s="920" t="s">
        <v>2037</v>
      </c>
      <c r="F251" s="922" t="s">
        <v>2038</v>
      </c>
      <c r="G251" s="838" t="s">
        <v>1147</v>
      </c>
      <c r="H251" s="838" t="s">
        <v>1148</v>
      </c>
      <c r="I251" s="838">
        <v>24</v>
      </c>
      <c r="J251" s="838">
        <v>0</v>
      </c>
      <c r="K251" s="838">
        <v>12</v>
      </c>
      <c r="L251" s="847">
        <f t="shared" si="110"/>
        <v>2</v>
      </c>
      <c r="M251" s="848">
        <v>46009</v>
      </c>
      <c r="N251" s="848">
        <v>46006</v>
      </c>
      <c r="O251" s="850"/>
      <c r="P251" s="938" t="s">
        <v>46</v>
      </c>
      <c r="Q251" s="838"/>
      <c r="R251" s="952">
        <v>45968</v>
      </c>
      <c r="S251" s="838" t="s">
        <v>58</v>
      </c>
      <c r="T251" s="863" t="s">
        <v>58</v>
      </c>
      <c r="U251" s="953" t="s">
        <v>2036</v>
      </c>
      <c r="V251" s="848" t="s">
        <v>721</v>
      </c>
      <c r="W251" s="953">
        <v>4.1214</v>
      </c>
      <c r="X251" s="866">
        <f t="shared" si="135"/>
        <v>98.9136</v>
      </c>
      <c r="Y251" s="838" t="s">
        <v>722</v>
      </c>
      <c r="Z251" s="838" t="s">
        <v>1709</v>
      </c>
      <c r="AA251" s="838" t="s">
        <v>53</v>
      </c>
      <c r="AB251" s="873" t="s">
        <v>54</v>
      </c>
      <c r="AC251" s="838"/>
      <c r="AD251" s="838">
        <v>24</v>
      </c>
      <c r="AE251" s="874">
        <f t="shared" si="136"/>
        <v>0</v>
      </c>
      <c r="AF251" s="967"/>
      <c r="AG251" s="838" t="s">
        <v>55</v>
      </c>
      <c r="AH251" s="838"/>
      <c r="AI251" s="838">
        <f t="shared" si="141"/>
        <v>48</v>
      </c>
      <c r="AJ251" s="838"/>
      <c r="AK251" s="970"/>
      <c r="AM251" s="803">
        <f>I251*2</f>
        <v>48</v>
      </c>
      <c r="AN251" s="838"/>
      <c r="AO251" s="838"/>
      <c r="AP251" s="973"/>
      <c r="AQ251" s="838">
        <f>I251*2</f>
        <v>48</v>
      </c>
      <c r="AR251" s="838"/>
      <c r="AS251" s="838"/>
      <c r="AT251" s="838"/>
      <c r="BC251" s="970"/>
      <c r="BL251" s="803">
        <f>I251</f>
        <v>24</v>
      </c>
      <c r="BM251" s="803">
        <f>I251</f>
        <v>24</v>
      </c>
      <c r="BO251" s="803">
        <f>I251</f>
        <v>24</v>
      </c>
      <c r="BS251" s="888">
        <f t="shared" si="117"/>
        <v>48</v>
      </c>
      <c r="BT251" s="889">
        <f t="shared" si="118"/>
        <v>2640194</v>
      </c>
      <c r="BU251" s="892"/>
      <c r="BV251" s="892"/>
      <c r="BW251" s="892"/>
      <c r="BX251" s="892"/>
      <c r="BY251" s="891">
        <f t="shared" si="108"/>
        <v>179806</v>
      </c>
      <c r="CA251" s="805">
        <f t="shared" si="119"/>
        <v>0</v>
      </c>
      <c r="CB251" s="888">
        <f t="shared" si="120"/>
        <v>50892.5714285714</v>
      </c>
      <c r="CC251" s="892"/>
      <c r="CD251" s="892"/>
      <c r="CE251" s="892"/>
      <c r="CF251" s="888">
        <f t="shared" si="109"/>
        <v>9107.4285714286</v>
      </c>
      <c r="CG251" s="892"/>
    </row>
    <row r="252" s="803" customFormat="1" ht="32" hidden="1" customHeight="1" spans="1:85">
      <c r="A252" s="919">
        <v>45968</v>
      </c>
      <c r="B252" s="920" t="s">
        <v>715</v>
      </c>
      <c r="C252" s="921" t="s">
        <v>716</v>
      </c>
      <c r="D252" s="922">
        <v>4500184839</v>
      </c>
      <c r="E252" s="920" t="s">
        <v>2039</v>
      </c>
      <c r="F252" s="922" t="s">
        <v>2040</v>
      </c>
      <c r="G252" s="838" t="s">
        <v>1147</v>
      </c>
      <c r="H252" s="838" t="s">
        <v>1148</v>
      </c>
      <c r="I252" s="838">
        <v>48</v>
      </c>
      <c r="J252" s="838">
        <v>0</v>
      </c>
      <c r="K252" s="838">
        <v>12</v>
      </c>
      <c r="L252" s="847">
        <f t="shared" si="110"/>
        <v>4</v>
      </c>
      <c r="M252" s="848">
        <v>46009</v>
      </c>
      <c r="N252" s="848">
        <v>46006</v>
      </c>
      <c r="O252" s="850"/>
      <c r="P252" s="938" t="s">
        <v>46</v>
      </c>
      <c r="Q252" s="838"/>
      <c r="R252" s="952">
        <v>45968</v>
      </c>
      <c r="S252" s="838" t="s">
        <v>58</v>
      </c>
      <c r="T252" s="863" t="s">
        <v>58</v>
      </c>
      <c r="U252" s="953" t="s">
        <v>2036</v>
      </c>
      <c r="V252" s="848" t="s">
        <v>721</v>
      </c>
      <c r="W252" s="953">
        <v>4.1214</v>
      </c>
      <c r="X252" s="866">
        <f t="shared" si="135"/>
        <v>197.8272</v>
      </c>
      <c r="Y252" s="838" t="s">
        <v>722</v>
      </c>
      <c r="Z252" s="838" t="s">
        <v>1709</v>
      </c>
      <c r="AA252" s="838" t="s">
        <v>53</v>
      </c>
      <c r="AB252" s="873" t="s">
        <v>54</v>
      </c>
      <c r="AC252" s="838"/>
      <c r="AD252" s="838">
        <v>48</v>
      </c>
      <c r="AE252" s="874">
        <f t="shared" si="136"/>
        <v>0</v>
      </c>
      <c r="AF252" s="967"/>
      <c r="AG252" s="838" t="s">
        <v>55</v>
      </c>
      <c r="AH252" s="838"/>
      <c r="AI252" s="838">
        <f t="shared" si="141"/>
        <v>96</v>
      </c>
      <c r="AJ252" s="838"/>
      <c r="AK252" s="970"/>
      <c r="AM252" s="803">
        <f>I252*2</f>
        <v>96</v>
      </c>
      <c r="AN252" s="838"/>
      <c r="AO252" s="838"/>
      <c r="AP252" s="973"/>
      <c r="AQ252" s="838">
        <f>I252*2</f>
        <v>96</v>
      </c>
      <c r="AR252" s="838"/>
      <c r="AS252" s="838"/>
      <c r="AT252" s="838"/>
      <c r="BC252" s="970"/>
      <c r="BL252" s="803">
        <f>I252</f>
        <v>48</v>
      </c>
      <c r="BM252" s="803">
        <f>I252</f>
        <v>48</v>
      </c>
      <c r="BO252" s="803">
        <f>I252</f>
        <v>48</v>
      </c>
      <c r="BS252" s="888">
        <f t="shared" si="117"/>
        <v>96</v>
      </c>
      <c r="BT252" s="889">
        <f t="shared" si="118"/>
        <v>2640290</v>
      </c>
      <c r="BU252" s="892"/>
      <c r="BV252" s="892"/>
      <c r="BW252" s="892"/>
      <c r="BX252" s="892"/>
      <c r="BY252" s="891">
        <f t="shared" si="108"/>
        <v>179710</v>
      </c>
      <c r="CA252" s="805">
        <f t="shared" si="119"/>
        <v>0</v>
      </c>
      <c r="CB252" s="888">
        <f t="shared" si="120"/>
        <v>50892.5714285714</v>
      </c>
      <c r="CC252" s="892"/>
      <c r="CD252" s="892"/>
      <c r="CE252" s="892"/>
      <c r="CF252" s="888">
        <f t="shared" si="109"/>
        <v>9107.4285714286</v>
      </c>
      <c r="CG252" s="892"/>
    </row>
    <row r="253" s="803" customFormat="1" ht="32" hidden="1" customHeight="1" spans="1:85">
      <c r="A253" s="919">
        <v>45968</v>
      </c>
      <c r="B253" s="920" t="s">
        <v>715</v>
      </c>
      <c r="C253" s="921" t="s">
        <v>716</v>
      </c>
      <c r="D253" s="922">
        <v>4500184839</v>
      </c>
      <c r="E253" s="920" t="s">
        <v>2041</v>
      </c>
      <c r="F253" s="922" t="s">
        <v>2042</v>
      </c>
      <c r="G253" s="838" t="s">
        <v>1147</v>
      </c>
      <c r="H253" s="838" t="s">
        <v>1148</v>
      </c>
      <c r="I253" s="838">
        <v>12</v>
      </c>
      <c r="J253" s="838">
        <v>0</v>
      </c>
      <c r="K253" s="838">
        <v>12</v>
      </c>
      <c r="L253" s="847">
        <f t="shared" si="110"/>
        <v>1</v>
      </c>
      <c r="M253" s="848">
        <v>46009</v>
      </c>
      <c r="N253" s="848">
        <v>46006</v>
      </c>
      <c r="O253" s="850"/>
      <c r="P253" s="938" t="s">
        <v>46</v>
      </c>
      <c r="Q253" s="838"/>
      <c r="R253" s="952">
        <v>45968</v>
      </c>
      <c r="S253" s="838" t="s">
        <v>58</v>
      </c>
      <c r="T253" s="863" t="s">
        <v>58</v>
      </c>
      <c r="U253" s="953" t="s">
        <v>2036</v>
      </c>
      <c r="V253" s="848" t="s">
        <v>721</v>
      </c>
      <c r="W253" s="953">
        <v>4.1214</v>
      </c>
      <c r="X253" s="866">
        <f t="shared" si="135"/>
        <v>49.4568</v>
      </c>
      <c r="Y253" s="838" t="s">
        <v>722</v>
      </c>
      <c r="Z253" s="838" t="s">
        <v>1709</v>
      </c>
      <c r="AA253" s="838" t="s">
        <v>53</v>
      </c>
      <c r="AB253" s="873" t="s">
        <v>54</v>
      </c>
      <c r="AC253" s="838"/>
      <c r="AD253" s="838">
        <v>12</v>
      </c>
      <c r="AE253" s="874">
        <f t="shared" si="136"/>
        <v>0</v>
      </c>
      <c r="AF253" s="967"/>
      <c r="AG253" s="838" t="s">
        <v>55</v>
      </c>
      <c r="AH253" s="838"/>
      <c r="AI253" s="838">
        <f t="shared" si="141"/>
        <v>24</v>
      </c>
      <c r="AJ253" s="838"/>
      <c r="AK253" s="970"/>
      <c r="AM253" s="803">
        <f>I253*2</f>
        <v>24</v>
      </c>
      <c r="AN253" s="838"/>
      <c r="AO253" s="838"/>
      <c r="AP253" s="973"/>
      <c r="AQ253" s="838">
        <f>I253*2</f>
        <v>24</v>
      </c>
      <c r="AR253" s="838"/>
      <c r="AS253" s="838"/>
      <c r="AT253" s="838"/>
      <c r="BC253" s="970"/>
      <c r="BL253" s="803">
        <f>I253</f>
        <v>12</v>
      </c>
      <c r="BM253" s="803">
        <f>I253</f>
        <v>12</v>
      </c>
      <c r="BO253" s="803">
        <f>I253</f>
        <v>12</v>
      </c>
      <c r="BS253" s="888">
        <f t="shared" si="117"/>
        <v>24</v>
      </c>
      <c r="BT253" s="889">
        <f t="shared" si="118"/>
        <v>2640314</v>
      </c>
      <c r="BU253" s="892"/>
      <c r="BV253" s="892"/>
      <c r="BW253" s="892"/>
      <c r="BX253" s="892"/>
      <c r="BY253" s="891">
        <f t="shared" si="108"/>
        <v>179686</v>
      </c>
      <c r="CA253" s="805">
        <f t="shared" si="119"/>
        <v>0</v>
      </c>
      <c r="CB253" s="888">
        <f t="shared" si="120"/>
        <v>50892.5714285714</v>
      </c>
      <c r="CC253" s="892"/>
      <c r="CD253" s="892"/>
      <c r="CE253" s="892"/>
      <c r="CF253" s="888">
        <f t="shared" si="109"/>
        <v>9107.4285714286</v>
      </c>
      <c r="CG253" s="892"/>
    </row>
    <row r="254" s="803" customFormat="1" ht="32" hidden="1" customHeight="1" spans="1:85">
      <c r="A254" s="919">
        <v>45968</v>
      </c>
      <c r="B254" s="920" t="s">
        <v>715</v>
      </c>
      <c r="C254" s="921" t="s">
        <v>716</v>
      </c>
      <c r="D254" s="922">
        <v>4500184839</v>
      </c>
      <c r="E254" s="920" t="s">
        <v>2043</v>
      </c>
      <c r="F254" s="922" t="s">
        <v>2044</v>
      </c>
      <c r="G254" s="838" t="s">
        <v>1147</v>
      </c>
      <c r="H254" s="838" t="s">
        <v>1148</v>
      </c>
      <c r="I254" s="838">
        <v>12</v>
      </c>
      <c r="J254" s="838">
        <v>0</v>
      </c>
      <c r="K254" s="838">
        <v>12</v>
      </c>
      <c r="L254" s="847">
        <f t="shared" si="110"/>
        <v>1</v>
      </c>
      <c r="M254" s="848">
        <v>46009</v>
      </c>
      <c r="N254" s="848">
        <v>46006</v>
      </c>
      <c r="O254" s="850"/>
      <c r="P254" s="938" t="s">
        <v>46</v>
      </c>
      <c r="Q254" s="838"/>
      <c r="R254" s="952">
        <v>45968</v>
      </c>
      <c r="S254" s="838" t="s">
        <v>58</v>
      </c>
      <c r="T254" s="863" t="s">
        <v>58</v>
      </c>
      <c r="U254" s="953" t="s">
        <v>2036</v>
      </c>
      <c r="V254" s="848" t="s">
        <v>721</v>
      </c>
      <c r="W254" s="953">
        <v>4.1214</v>
      </c>
      <c r="X254" s="866">
        <f t="shared" si="135"/>
        <v>49.4568</v>
      </c>
      <c r="Y254" s="838" t="s">
        <v>722</v>
      </c>
      <c r="Z254" s="838" t="s">
        <v>1709</v>
      </c>
      <c r="AA254" s="838" t="s">
        <v>53</v>
      </c>
      <c r="AB254" s="873" t="s">
        <v>54</v>
      </c>
      <c r="AC254" s="838"/>
      <c r="AD254" s="838">
        <v>12</v>
      </c>
      <c r="AE254" s="874">
        <f t="shared" si="136"/>
        <v>0</v>
      </c>
      <c r="AF254" s="967"/>
      <c r="AG254" s="838" t="s">
        <v>55</v>
      </c>
      <c r="AH254" s="838"/>
      <c r="AI254" s="838">
        <f t="shared" si="141"/>
        <v>24</v>
      </c>
      <c r="AJ254" s="838"/>
      <c r="AK254" s="970"/>
      <c r="AM254" s="803">
        <f>I254*2</f>
        <v>24</v>
      </c>
      <c r="AN254" s="838"/>
      <c r="AO254" s="838"/>
      <c r="AP254" s="973"/>
      <c r="AQ254" s="838">
        <f>I254*2</f>
        <v>24</v>
      </c>
      <c r="AR254" s="838"/>
      <c r="AS254" s="838"/>
      <c r="AT254" s="838"/>
      <c r="BC254" s="970"/>
      <c r="BL254" s="803">
        <f>I254</f>
        <v>12</v>
      </c>
      <c r="BM254" s="803">
        <f>I254</f>
        <v>12</v>
      </c>
      <c r="BO254" s="803">
        <f>I254</f>
        <v>12</v>
      </c>
      <c r="BS254" s="888">
        <f t="shared" si="117"/>
        <v>24</v>
      </c>
      <c r="BT254" s="889">
        <f t="shared" si="118"/>
        <v>2640338</v>
      </c>
      <c r="BU254" s="892"/>
      <c r="BV254" s="892"/>
      <c r="BW254" s="892"/>
      <c r="BX254" s="892"/>
      <c r="BY254" s="891">
        <f t="shared" si="108"/>
        <v>179662</v>
      </c>
      <c r="CA254" s="805">
        <f t="shared" si="119"/>
        <v>0</v>
      </c>
      <c r="CB254" s="888">
        <f t="shared" si="120"/>
        <v>50892.5714285714</v>
      </c>
      <c r="CC254" s="892"/>
      <c r="CD254" s="892"/>
      <c r="CE254" s="892"/>
      <c r="CF254" s="888">
        <f t="shared" si="109"/>
        <v>9107.4285714286</v>
      </c>
      <c r="CG254" s="892"/>
    </row>
    <row r="255" s="803" customFormat="1" ht="32" hidden="1" customHeight="1" spans="1:85">
      <c r="A255" s="919">
        <v>45967</v>
      </c>
      <c r="B255" s="920" t="s">
        <v>2045</v>
      </c>
      <c r="C255" s="921" t="s">
        <v>84</v>
      </c>
      <c r="D255" s="922">
        <v>4500184568</v>
      </c>
      <c r="E255" s="924">
        <v>1800111582</v>
      </c>
      <c r="F255" s="922" t="s">
        <v>2046</v>
      </c>
      <c r="G255" s="838" t="s">
        <v>1417</v>
      </c>
      <c r="H255" s="925" t="s">
        <v>2047</v>
      </c>
      <c r="I255" s="838">
        <v>2250</v>
      </c>
      <c r="J255" s="838">
        <v>0</v>
      </c>
      <c r="K255" s="838">
        <v>30</v>
      </c>
      <c r="L255" s="847">
        <f t="shared" si="110"/>
        <v>75</v>
      </c>
      <c r="M255" s="939">
        <v>46013</v>
      </c>
      <c r="N255" s="939">
        <v>46009</v>
      </c>
      <c r="O255" s="850"/>
      <c r="P255" s="938" t="s">
        <v>46</v>
      </c>
      <c r="Q255" s="838"/>
      <c r="R255" s="952">
        <v>45982</v>
      </c>
      <c r="S255" s="838" t="s">
        <v>58</v>
      </c>
      <c r="T255" s="863" t="s">
        <v>58</v>
      </c>
      <c r="U255" s="953" t="s">
        <v>2048</v>
      </c>
      <c r="V255" s="848" t="s">
        <v>1225</v>
      </c>
      <c r="W255" s="865">
        <v>42.9196</v>
      </c>
      <c r="X255" s="866">
        <f>W255*L255</f>
        <v>3218.97</v>
      </c>
      <c r="Y255" s="838" t="s">
        <v>2049</v>
      </c>
      <c r="Z255" s="838" t="s">
        <v>1417</v>
      </c>
      <c r="AA255" s="838" t="s">
        <v>53</v>
      </c>
      <c r="AB255" s="873" t="s">
        <v>54</v>
      </c>
      <c r="AC255" s="838"/>
      <c r="AD255" s="838">
        <v>2250</v>
      </c>
      <c r="AE255" s="874">
        <f t="shared" si="136"/>
        <v>0</v>
      </c>
      <c r="AF255" s="967"/>
      <c r="AG255" s="838" t="s">
        <v>58</v>
      </c>
      <c r="AH255" s="838"/>
      <c r="AI255" s="838">
        <f>I255</f>
        <v>2250</v>
      </c>
      <c r="AJ255" s="838"/>
      <c r="AK255" s="838">
        <f>I255</f>
        <v>2250</v>
      </c>
      <c r="AN255" s="838"/>
      <c r="AO255" s="838"/>
      <c r="AP255" s="974"/>
      <c r="AQ255" s="838">
        <f>I255</f>
        <v>2250</v>
      </c>
      <c r="AR255" s="838"/>
      <c r="AS255" s="838"/>
      <c r="AT255" s="838"/>
      <c r="BC255" s="970"/>
      <c r="BH255" s="803">
        <f>I255/30</f>
        <v>75</v>
      </c>
      <c r="BS255" s="888">
        <f t="shared" si="117"/>
        <v>2250</v>
      </c>
      <c r="BT255" s="889">
        <f t="shared" si="118"/>
        <v>2642588</v>
      </c>
      <c r="BU255" s="892"/>
      <c r="BV255" s="892"/>
      <c r="BW255" s="892"/>
      <c r="BX255" s="892"/>
      <c r="BY255" s="891">
        <f t="shared" si="108"/>
        <v>177412</v>
      </c>
      <c r="CA255" s="805">
        <f t="shared" si="119"/>
        <v>0</v>
      </c>
      <c r="CB255" s="888">
        <f t="shared" si="120"/>
        <v>50892.5714285714</v>
      </c>
      <c r="CC255" s="892"/>
      <c r="CD255" s="892"/>
      <c r="CE255" s="892"/>
      <c r="CF255" s="888">
        <f t="shared" si="109"/>
        <v>9107.4285714286</v>
      </c>
      <c r="CG255" s="892"/>
    </row>
    <row r="256" s="803" customFormat="1" ht="32" customHeight="1" spans="1:85">
      <c r="A256" s="919">
        <v>45912</v>
      </c>
      <c r="B256" s="920" t="s">
        <v>781</v>
      </c>
      <c r="C256" s="921" t="s">
        <v>648</v>
      </c>
      <c r="D256" s="922">
        <v>4500179365</v>
      </c>
      <c r="E256" s="920" t="s">
        <v>782</v>
      </c>
      <c r="F256" s="923" t="s">
        <v>2050</v>
      </c>
      <c r="G256" s="838" t="s">
        <v>1155</v>
      </c>
      <c r="H256" s="838" t="s">
        <v>1140</v>
      </c>
      <c r="I256" s="838">
        <v>3600</v>
      </c>
      <c r="J256" s="838">
        <v>0</v>
      </c>
      <c r="K256" s="838">
        <v>50</v>
      </c>
      <c r="L256" s="847">
        <f t="shared" ref="L256:L288" si="142">I256/K256</f>
        <v>72</v>
      </c>
      <c r="M256" s="848">
        <v>46016</v>
      </c>
      <c r="N256" s="848">
        <v>46013</v>
      </c>
      <c r="O256" s="850"/>
      <c r="P256" s="938" t="s">
        <v>46</v>
      </c>
      <c r="Q256" s="838"/>
      <c r="R256" s="952">
        <v>45919</v>
      </c>
      <c r="S256" s="952" t="s">
        <v>58</v>
      </c>
      <c r="T256" s="952" t="s">
        <v>2051</v>
      </c>
      <c r="U256" s="953" t="s">
        <v>784</v>
      </c>
      <c r="V256" s="848" t="s">
        <v>653</v>
      </c>
      <c r="W256" s="865">
        <v>1.9548</v>
      </c>
      <c r="X256" s="866">
        <f t="shared" ref="X256:X288" si="143">I256*W256</f>
        <v>7037.28</v>
      </c>
      <c r="Y256" s="838" t="s">
        <v>785</v>
      </c>
      <c r="Z256" s="838" t="s">
        <v>1160</v>
      </c>
      <c r="AA256" s="838" t="s">
        <v>53</v>
      </c>
      <c r="AB256" s="873" t="s">
        <v>54</v>
      </c>
      <c r="AC256" s="838"/>
      <c r="AD256" s="838">
        <f>50+3550</f>
        <v>3600</v>
      </c>
      <c r="AE256" s="874">
        <f t="shared" si="136"/>
        <v>0</v>
      </c>
      <c r="AF256" s="967"/>
      <c r="AG256" s="838" t="s">
        <v>55</v>
      </c>
      <c r="AH256" s="838"/>
      <c r="AI256" s="838">
        <f>I256</f>
        <v>3600</v>
      </c>
      <c r="AJ256" s="838"/>
      <c r="AK256" s="970"/>
      <c r="AN256" s="838">
        <f>I256</f>
        <v>3600</v>
      </c>
      <c r="AO256" s="838"/>
      <c r="AP256" s="973"/>
      <c r="AQ256" s="838">
        <f>I256</f>
        <v>3600</v>
      </c>
      <c r="AR256" s="838"/>
      <c r="AS256" s="838"/>
      <c r="AT256" s="838"/>
      <c r="BC256" s="970"/>
      <c r="BD256" s="803">
        <f>I256/25</f>
        <v>144</v>
      </c>
      <c r="BS256" s="892">
        <f t="shared" si="117"/>
        <v>3600</v>
      </c>
      <c r="BT256" s="892">
        <f t="shared" si="118"/>
        <v>2646188</v>
      </c>
      <c r="BU256" s="892"/>
      <c r="BV256" s="892"/>
      <c r="BW256" s="892"/>
      <c r="BX256" s="892"/>
      <c r="BY256" s="803">
        <f t="shared" si="108"/>
        <v>173812</v>
      </c>
      <c r="CA256" s="803">
        <f t="shared" si="119"/>
        <v>144</v>
      </c>
      <c r="CB256" s="892">
        <f t="shared" si="120"/>
        <v>51036.5714285714</v>
      </c>
      <c r="CC256" s="892"/>
      <c r="CD256" s="892"/>
      <c r="CE256" s="892"/>
      <c r="CF256" s="892">
        <f t="shared" si="109"/>
        <v>8963.4285714286</v>
      </c>
      <c r="CG256" s="892"/>
    </row>
    <row r="257" s="803" customFormat="1" ht="32" hidden="1" customHeight="1" spans="1:85">
      <c r="A257" s="919">
        <v>45960</v>
      </c>
      <c r="B257" s="920" t="s">
        <v>1255</v>
      </c>
      <c r="C257" s="921" t="s">
        <v>84</v>
      </c>
      <c r="D257" s="922">
        <v>4500183810</v>
      </c>
      <c r="E257" s="920" t="s">
        <v>2052</v>
      </c>
      <c r="F257" s="923" t="s">
        <v>2053</v>
      </c>
      <c r="G257" s="838" t="s">
        <v>1147</v>
      </c>
      <c r="H257" s="838" t="s">
        <v>1148</v>
      </c>
      <c r="I257" s="838">
        <v>996</v>
      </c>
      <c r="J257" s="838">
        <v>0</v>
      </c>
      <c r="K257" s="838">
        <v>12</v>
      </c>
      <c r="L257" s="847">
        <f t="shared" si="142"/>
        <v>83</v>
      </c>
      <c r="M257" s="848">
        <v>46022</v>
      </c>
      <c r="N257" s="848">
        <v>46018</v>
      </c>
      <c r="O257" s="850"/>
      <c r="P257" s="938" t="s">
        <v>46</v>
      </c>
      <c r="Q257" s="838"/>
      <c r="R257" s="952">
        <v>45965</v>
      </c>
      <c r="S257" s="952" t="s">
        <v>58</v>
      </c>
      <c r="T257" s="952" t="s">
        <v>2054</v>
      </c>
      <c r="U257" s="953" t="s">
        <v>2055</v>
      </c>
      <c r="V257" s="848" t="s">
        <v>1260</v>
      </c>
      <c r="W257" s="865">
        <v>2.4244</v>
      </c>
      <c r="X257" s="866">
        <f t="shared" si="143"/>
        <v>2414.7024</v>
      </c>
      <c r="Y257" s="838"/>
      <c r="Z257" s="838" t="s">
        <v>1884</v>
      </c>
      <c r="AA257" s="838" t="s">
        <v>53</v>
      </c>
      <c r="AB257" s="873" t="s">
        <v>54</v>
      </c>
      <c r="AC257" s="838"/>
      <c r="AD257" s="838">
        <v>996</v>
      </c>
      <c r="AE257" s="874">
        <f t="shared" si="136"/>
        <v>0</v>
      </c>
      <c r="AF257" s="967"/>
      <c r="AG257" s="838" t="s">
        <v>55</v>
      </c>
      <c r="AH257" s="838"/>
      <c r="AI257" s="838">
        <f t="shared" ref="AI257:AI271" si="144">I257*2</f>
        <v>1992</v>
      </c>
      <c r="AJ257" s="838"/>
      <c r="AK257" s="970">
        <f t="shared" ref="AK257:AK263" si="145">I257*2</f>
        <v>1992</v>
      </c>
      <c r="AN257" s="838"/>
      <c r="AO257" s="838"/>
      <c r="AP257" s="973"/>
      <c r="AQ257" s="838">
        <f t="shared" ref="AQ257:AQ274" si="146">I257*2</f>
        <v>1992</v>
      </c>
      <c r="AR257" s="838"/>
      <c r="AS257" s="838"/>
      <c r="AT257" s="838"/>
      <c r="BC257" s="970"/>
      <c r="BL257" s="803">
        <f t="shared" ref="BL257:BL272" si="147">I257</f>
        <v>996</v>
      </c>
      <c r="BN257" s="803">
        <f t="shared" ref="BN257:BN264" si="148">I257</f>
        <v>996</v>
      </c>
      <c r="BO257" s="803">
        <f t="shared" ref="BO257:BO272" si="149">I257</f>
        <v>996</v>
      </c>
      <c r="BS257" s="892">
        <f t="shared" si="117"/>
        <v>1992</v>
      </c>
      <c r="BT257" s="892">
        <f t="shared" si="118"/>
        <v>2648180</v>
      </c>
      <c r="BU257" s="892"/>
      <c r="BV257" s="892"/>
      <c r="BW257" s="892"/>
      <c r="BX257" s="892"/>
      <c r="BY257" s="803">
        <f t="shared" si="108"/>
        <v>171820</v>
      </c>
      <c r="CA257" s="803">
        <f t="shared" si="119"/>
        <v>0</v>
      </c>
      <c r="CB257" s="892">
        <f t="shared" si="120"/>
        <v>51036.5714285714</v>
      </c>
      <c r="CC257" s="892"/>
      <c r="CD257" s="892"/>
      <c r="CE257" s="892"/>
      <c r="CF257" s="892">
        <f t="shared" si="109"/>
        <v>8963.4285714286</v>
      </c>
      <c r="CG257" s="892"/>
    </row>
    <row r="258" s="803" customFormat="1" ht="32" hidden="1" customHeight="1" spans="1:85">
      <c r="A258" s="919">
        <v>45960</v>
      </c>
      <c r="B258" s="920" t="s">
        <v>1255</v>
      </c>
      <c r="C258" s="921" t="s">
        <v>84</v>
      </c>
      <c r="D258" s="922">
        <v>4500183806</v>
      </c>
      <c r="E258" s="920" t="s">
        <v>2056</v>
      </c>
      <c r="F258" s="923" t="s">
        <v>2057</v>
      </c>
      <c r="G258" s="838" t="s">
        <v>1147</v>
      </c>
      <c r="H258" s="838" t="s">
        <v>1148</v>
      </c>
      <c r="I258" s="838">
        <v>804</v>
      </c>
      <c r="J258" s="838">
        <v>0</v>
      </c>
      <c r="K258" s="838">
        <v>12</v>
      </c>
      <c r="L258" s="847">
        <f t="shared" si="142"/>
        <v>67</v>
      </c>
      <c r="M258" s="848">
        <v>46022</v>
      </c>
      <c r="N258" s="848">
        <v>46018</v>
      </c>
      <c r="O258" s="850"/>
      <c r="P258" s="938" t="s">
        <v>46</v>
      </c>
      <c r="Q258" s="838"/>
      <c r="R258" s="952">
        <v>45965</v>
      </c>
      <c r="S258" s="952" t="s">
        <v>58</v>
      </c>
      <c r="T258" s="952" t="s">
        <v>2054</v>
      </c>
      <c r="U258" s="953" t="s">
        <v>2058</v>
      </c>
      <c r="V258" s="848" t="s">
        <v>1260</v>
      </c>
      <c r="W258" s="865">
        <v>2.4244</v>
      </c>
      <c r="X258" s="866">
        <f t="shared" si="143"/>
        <v>1949.2176</v>
      </c>
      <c r="Y258" s="838"/>
      <c r="Z258" s="838" t="s">
        <v>1884</v>
      </c>
      <c r="AA258" s="838" t="s">
        <v>53</v>
      </c>
      <c r="AB258" s="873" t="s">
        <v>54</v>
      </c>
      <c r="AC258" s="838"/>
      <c r="AD258" s="838">
        <v>804</v>
      </c>
      <c r="AE258" s="874">
        <f t="shared" si="136"/>
        <v>0</v>
      </c>
      <c r="AF258" s="967"/>
      <c r="AG258" s="838" t="s">
        <v>55</v>
      </c>
      <c r="AH258" s="838"/>
      <c r="AI258" s="838">
        <f t="shared" si="144"/>
        <v>1608</v>
      </c>
      <c r="AJ258" s="838"/>
      <c r="AK258" s="970">
        <f t="shared" si="145"/>
        <v>1608</v>
      </c>
      <c r="AN258" s="838"/>
      <c r="AO258" s="838"/>
      <c r="AP258" s="973"/>
      <c r="AQ258" s="838">
        <f t="shared" si="146"/>
        <v>1608</v>
      </c>
      <c r="AR258" s="838"/>
      <c r="AS258" s="838"/>
      <c r="AT258" s="838"/>
      <c r="BC258" s="970"/>
      <c r="BL258" s="803">
        <f t="shared" si="147"/>
        <v>804</v>
      </c>
      <c r="BN258" s="803">
        <f t="shared" si="148"/>
        <v>804</v>
      </c>
      <c r="BO258" s="803">
        <f t="shared" si="149"/>
        <v>804</v>
      </c>
      <c r="BS258" s="892">
        <f t="shared" si="117"/>
        <v>1608</v>
      </c>
      <c r="BT258" s="892">
        <f t="shared" si="118"/>
        <v>2649788</v>
      </c>
      <c r="BU258" s="892"/>
      <c r="BV258" s="892"/>
      <c r="BW258" s="892"/>
      <c r="BX258" s="892"/>
      <c r="BY258" s="803">
        <f t="shared" si="108"/>
        <v>170212</v>
      </c>
      <c r="CA258" s="803">
        <f t="shared" si="119"/>
        <v>0</v>
      </c>
      <c r="CB258" s="892">
        <f t="shared" si="120"/>
        <v>51036.5714285714</v>
      </c>
      <c r="CC258" s="892"/>
      <c r="CD258" s="892"/>
      <c r="CE258" s="892"/>
      <c r="CF258" s="892">
        <f t="shared" si="109"/>
        <v>8963.4285714286</v>
      </c>
      <c r="CG258" s="892"/>
    </row>
    <row r="259" s="803" customFormat="1" ht="32" hidden="1" customHeight="1" spans="1:85">
      <c r="A259" s="919">
        <v>45975</v>
      </c>
      <c r="B259" s="920" t="s">
        <v>1145</v>
      </c>
      <c r="C259" s="921" t="s">
        <v>84</v>
      </c>
      <c r="D259" s="922">
        <v>4500185285</v>
      </c>
      <c r="E259" s="920">
        <v>60261180</v>
      </c>
      <c r="F259" s="923" t="s">
        <v>2059</v>
      </c>
      <c r="G259" s="838" t="s">
        <v>1147</v>
      </c>
      <c r="H259" s="838" t="s">
        <v>1148</v>
      </c>
      <c r="I259" s="838">
        <v>2004</v>
      </c>
      <c r="J259" s="838">
        <v>0</v>
      </c>
      <c r="K259" s="838">
        <v>12</v>
      </c>
      <c r="L259" s="847">
        <f t="shared" si="142"/>
        <v>167</v>
      </c>
      <c r="M259" s="848">
        <v>46024</v>
      </c>
      <c r="N259" s="848">
        <f>M259-4</f>
        <v>46020</v>
      </c>
      <c r="O259" s="850"/>
      <c r="P259" s="938" t="s">
        <v>46</v>
      </c>
      <c r="Q259" s="838"/>
      <c r="R259" s="952">
        <v>45975</v>
      </c>
      <c r="S259" s="952" t="s">
        <v>58</v>
      </c>
      <c r="T259" s="952" t="s">
        <v>1324</v>
      </c>
      <c r="U259" s="953" t="s">
        <v>2060</v>
      </c>
      <c r="V259" s="848" t="s">
        <v>1788</v>
      </c>
      <c r="W259" s="865">
        <v>2.4174</v>
      </c>
      <c r="X259" s="866">
        <f t="shared" si="143"/>
        <v>4844.4696</v>
      </c>
      <c r="Y259" s="838"/>
      <c r="Z259" s="838" t="s">
        <v>1884</v>
      </c>
      <c r="AA259" s="838" t="s">
        <v>53</v>
      </c>
      <c r="AB259" s="873" t="s">
        <v>54</v>
      </c>
      <c r="AC259" s="838"/>
      <c r="AD259" s="838">
        <v>2004</v>
      </c>
      <c r="AE259" s="874">
        <f t="shared" si="136"/>
        <v>0</v>
      </c>
      <c r="AF259" s="967"/>
      <c r="AG259" s="838" t="s">
        <v>55</v>
      </c>
      <c r="AH259" s="838"/>
      <c r="AI259" s="838">
        <f t="shared" si="144"/>
        <v>4008</v>
      </c>
      <c r="AJ259" s="838"/>
      <c r="AK259" s="970">
        <f t="shared" si="145"/>
        <v>4008</v>
      </c>
      <c r="AN259" s="838"/>
      <c r="AO259" s="838"/>
      <c r="AP259" s="973"/>
      <c r="AQ259" s="838">
        <f t="shared" si="146"/>
        <v>4008</v>
      </c>
      <c r="AR259" s="838"/>
      <c r="AS259" s="838"/>
      <c r="AT259" s="838"/>
      <c r="BC259" s="970"/>
      <c r="BL259" s="803">
        <f t="shared" si="147"/>
        <v>2004</v>
      </c>
      <c r="BN259" s="803">
        <f t="shared" si="148"/>
        <v>2004</v>
      </c>
      <c r="BO259" s="803">
        <f t="shared" si="149"/>
        <v>2004</v>
      </c>
      <c r="BS259" s="892">
        <f t="shared" si="117"/>
        <v>4008</v>
      </c>
      <c r="BT259" s="892">
        <f t="shared" si="118"/>
        <v>2653796</v>
      </c>
      <c r="BU259" s="892"/>
      <c r="BV259" s="892"/>
      <c r="BW259" s="892"/>
      <c r="BX259" s="892"/>
      <c r="BY259" s="803">
        <f t="shared" ref="BY259:BY286" si="150">SUM(BV$1:BZ$1)-BT259</f>
        <v>166204</v>
      </c>
      <c r="CA259" s="803">
        <f t="shared" si="119"/>
        <v>0</v>
      </c>
      <c r="CB259" s="892">
        <f t="shared" si="120"/>
        <v>51036.5714285714</v>
      </c>
      <c r="CC259" s="892"/>
      <c r="CD259" s="892"/>
      <c r="CE259" s="892"/>
      <c r="CF259" s="892">
        <f t="shared" ref="CF259:CF286" si="151">$CD$1+$CE$1+$CF$1+$CG$1-CB259</f>
        <v>8963.4285714286</v>
      </c>
      <c r="CG259" s="892"/>
    </row>
    <row r="260" s="803" customFormat="1" ht="32" hidden="1" customHeight="1" spans="1:85">
      <c r="A260" s="919">
        <v>45988</v>
      </c>
      <c r="B260" s="920" t="s">
        <v>1255</v>
      </c>
      <c r="C260" s="921" t="s">
        <v>84</v>
      </c>
      <c r="D260" s="922">
        <v>4500187228</v>
      </c>
      <c r="E260" s="920">
        <v>765819</v>
      </c>
      <c r="F260" s="923" t="s">
        <v>2061</v>
      </c>
      <c r="G260" s="838" t="s">
        <v>1147</v>
      </c>
      <c r="H260" s="838" t="s">
        <v>1148</v>
      </c>
      <c r="I260" s="838">
        <v>804</v>
      </c>
      <c r="J260" s="838">
        <v>0</v>
      </c>
      <c r="K260" s="838">
        <v>12</v>
      </c>
      <c r="L260" s="847">
        <f t="shared" si="142"/>
        <v>67</v>
      </c>
      <c r="M260" s="848">
        <v>46029</v>
      </c>
      <c r="N260" s="848">
        <v>46025</v>
      </c>
      <c r="O260" s="850"/>
      <c r="P260" s="938" t="s">
        <v>46</v>
      </c>
      <c r="Q260" s="838"/>
      <c r="R260" s="952">
        <v>45988</v>
      </c>
      <c r="S260" s="952" t="s">
        <v>58</v>
      </c>
      <c r="T260" s="952" t="s">
        <v>2062</v>
      </c>
      <c r="U260" s="953" t="s">
        <v>2063</v>
      </c>
      <c r="V260" s="848" t="s">
        <v>1260</v>
      </c>
      <c r="W260" s="865">
        <v>2.4015</v>
      </c>
      <c r="X260" s="866">
        <f t="shared" si="143"/>
        <v>1930.806</v>
      </c>
      <c r="Y260" s="838"/>
      <c r="Z260" s="838" t="s">
        <v>1884</v>
      </c>
      <c r="AA260" s="838" t="s">
        <v>53</v>
      </c>
      <c r="AB260" s="873" t="s">
        <v>54</v>
      </c>
      <c r="AC260" s="838"/>
      <c r="AD260" s="838">
        <v>804</v>
      </c>
      <c r="AE260" s="874">
        <f t="shared" si="136"/>
        <v>0</v>
      </c>
      <c r="AF260" s="967"/>
      <c r="AG260" s="838" t="s">
        <v>55</v>
      </c>
      <c r="AH260" s="838"/>
      <c r="AI260" s="838">
        <f t="shared" si="144"/>
        <v>1608</v>
      </c>
      <c r="AJ260" s="838"/>
      <c r="AK260" s="970">
        <f t="shared" si="145"/>
        <v>1608</v>
      </c>
      <c r="AN260" s="838"/>
      <c r="AO260" s="838"/>
      <c r="AP260" s="973"/>
      <c r="AQ260" s="838">
        <f t="shared" si="146"/>
        <v>1608</v>
      </c>
      <c r="AR260" s="838"/>
      <c r="AS260" s="838"/>
      <c r="AT260" s="838"/>
      <c r="BC260" s="970"/>
      <c r="BL260" s="803">
        <f t="shared" si="147"/>
        <v>804</v>
      </c>
      <c r="BN260" s="803">
        <f t="shared" si="148"/>
        <v>804</v>
      </c>
      <c r="BO260" s="803">
        <f t="shared" si="149"/>
        <v>804</v>
      </c>
      <c r="BS260" s="892">
        <f t="shared" ref="BS260:BS288" si="152">AI260+AJ260</f>
        <v>1608</v>
      </c>
      <c r="BT260" s="892">
        <f>BT266+BS260</f>
        <v>2656628</v>
      </c>
      <c r="BU260" s="892"/>
      <c r="BV260" s="892"/>
      <c r="BW260" s="892"/>
      <c r="BX260" s="892"/>
      <c r="BY260" s="803">
        <f t="shared" si="150"/>
        <v>163372</v>
      </c>
      <c r="CA260" s="803">
        <f t="shared" ref="CA260:CA268" si="153">AU260+AV260+BC260+BD260</f>
        <v>0</v>
      </c>
      <c r="CB260" s="892">
        <f>CB266+CA260</f>
        <v>51036.5714285714</v>
      </c>
      <c r="CC260" s="892"/>
      <c r="CD260" s="892"/>
      <c r="CE260" s="892"/>
      <c r="CF260" s="892">
        <f t="shared" si="151"/>
        <v>8963.4285714286</v>
      </c>
      <c r="CG260" s="892"/>
    </row>
    <row r="261" s="803" customFormat="1" ht="32" hidden="1" customHeight="1" spans="1:85">
      <c r="A261" s="919">
        <v>45988</v>
      </c>
      <c r="B261" s="920" t="s">
        <v>1255</v>
      </c>
      <c r="C261" s="921" t="s">
        <v>84</v>
      </c>
      <c r="D261" s="922">
        <v>4500187232</v>
      </c>
      <c r="E261" s="920">
        <v>765820</v>
      </c>
      <c r="F261" s="923" t="s">
        <v>2064</v>
      </c>
      <c r="G261" s="838" t="s">
        <v>1147</v>
      </c>
      <c r="H261" s="838" t="s">
        <v>1148</v>
      </c>
      <c r="I261" s="838">
        <v>996</v>
      </c>
      <c r="J261" s="838">
        <v>0</v>
      </c>
      <c r="K261" s="838">
        <v>12</v>
      </c>
      <c r="L261" s="847">
        <f t="shared" si="142"/>
        <v>83</v>
      </c>
      <c r="M261" s="848">
        <v>46029</v>
      </c>
      <c r="N261" s="848">
        <v>46025</v>
      </c>
      <c r="O261" s="850"/>
      <c r="P261" s="938" t="s">
        <v>46</v>
      </c>
      <c r="Q261" s="838"/>
      <c r="R261" s="952">
        <v>45988</v>
      </c>
      <c r="S261" s="952" t="s">
        <v>58</v>
      </c>
      <c r="T261" s="952" t="s">
        <v>2062</v>
      </c>
      <c r="U261" s="953" t="s">
        <v>2065</v>
      </c>
      <c r="V261" s="848" t="s">
        <v>1260</v>
      </c>
      <c r="W261" s="865">
        <v>2.4015</v>
      </c>
      <c r="X261" s="866">
        <f t="shared" si="143"/>
        <v>2391.894</v>
      </c>
      <c r="Y261" s="838"/>
      <c r="Z261" s="838" t="s">
        <v>1884</v>
      </c>
      <c r="AA261" s="838" t="s">
        <v>53</v>
      </c>
      <c r="AB261" s="873" t="s">
        <v>54</v>
      </c>
      <c r="AC261" s="838"/>
      <c r="AD261" s="838">
        <v>996</v>
      </c>
      <c r="AE261" s="874">
        <f t="shared" si="136"/>
        <v>0</v>
      </c>
      <c r="AF261" s="967"/>
      <c r="AG261" s="838" t="s">
        <v>55</v>
      </c>
      <c r="AH261" s="838"/>
      <c r="AI261" s="838">
        <f t="shared" si="144"/>
        <v>1992</v>
      </c>
      <c r="AJ261" s="838"/>
      <c r="AK261" s="970">
        <f t="shared" si="145"/>
        <v>1992</v>
      </c>
      <c r="AN261" s="838"/>
      <c r="AO261" s="838"/>
      <c r="AP261" s="973"/>
      <c r="AQ261" s="838">
        <f t="shared" si="146"/>
        <v>1992</v>
      </c>
      <c r="AR261" s="838"/>
      <c r="AS261" s="838"/>
      <c r="AT261" s="838"/>
      <c r="BC261" s="970"/>
      <c r="BL261" s="803">
        <f t="shared" si="147"/>
        <v>996</v>
      </c>
      <c r="BN261" s="803">
        <f t="shared" si="148"/>
        <v>996</v>
      </c>
      <c r="BO261" s="803">
        <f t="shared" si="149"/>
        <v>996</v>
      </c>
      <c r="BS261" s="892">
        <f t="shared" si="152"/>
        <v>1992</v>
      </c>
      <c r="BT261" s="892">
        <f>BT260+BS261</f>
        <v>2658620</v>
      </c>
      <c r="BU261" s="892"/>
      <c r="BV261" s="892"/>
      <c r="BW261" s="892"/>
      <c r="BX261" s="892"/>
      <c r="BY261" s="803">
        <f t="shared" si="150"/>
        <v>161380</v>
      </c>
      <c r="CA261" s="803">
        <f t="shared" si="153"/>
        <v>0</v>
      </c>
      <c r="CB261" s="892">
        <f>CB260+CA261</f>
        <v>51036.5714285714</v>
      </c>
      <c r="CC261" s="892"/>
      <c r="CD261" s="892"/>
      <c r="CE261" s="892"/>
      <c r="CF261" s="892">
        <f t="shared" si="151"/>
        <v>8963.4285714286</v>
      </c>
      <c r="CG261" s="892"/>
    </row>
    <row r="262" s="803" customFormat="1" ht="32" hidden="1" customHeight="1" spans="1:85">
      <c r="A262" s="919">
        <v>45988</v>
      </c>
      <c r="B262" s="920" t="s">
        <v>1255</v>
      </c>
      <c r="C262" s="921" t="s">
        <v>84</v>
      </c>
      <c r="D262" s="922">
        <v>4500187231</v>
      </c>
      <c r="E262" s="920">
        <v>770791</v>
      </c>
      <c r="F262" s="923" t="s">
        <v>2066</v>
      </c>
      <c r="G262" s="838" t="s">
        <v>1147</v>
      </c>
      <c r="H262" s="838" t="s">
        <v>1148</v>
      </c>
      <c r="I262" s="838">
        <v>996</v>
      </c>
      <c r="J262" s="838">
        <v>0</v>
      </c>
      <c r="K262" s="838">
        <v>12</v>
      </c>
      <c r="L262" s="847">
        <f t="shared" si="142"/>
        <v>83</v>
      </c>
      <c r="M262" s="848">
        <v>46029</v>
      </c>
      <c r="N262" s="848">
        <v>46025</v>
      </c>
      <c r="O262" s="850"/>
      <c r="P262" s="938" t="s">
        <v>46</v>
      </c>
      <c r="Q262" s="838"/>
      <c r="R262" s="952">
        <v>45988</v>
      </c>
      <c r="S262" s="952" t="s">
        <v>58</v>
      </c>
      <c r="T262" s="952" t="s">
        <v>2062</v>
      </c>
      <c r="U262" s="953" t="s">
        <v>2067</v>
      </c>
      <c r="V262" s="848" t="s">
        <v>1260</v>
      </c>
      <c r="W262" s="865">
        <v>2.4244</v>
      </c>
      <c r="X262" s="866">
        <f t="shared" si="143"/>
        <v>2414.7024</v>
      </c>
      <c r="Y262" s="838"/>
      <c r="Z262" s="838" t="s">
        <v>1884</v>
      </c>
      <c r="AA262" s="838" t="s">
        <v>53</v>
      </c>
      <c r="AB262" s="873" t="s">
        <v>54</v>
      </c>
      <c r="AC262" s="838"/>
      <c r="AD262" s="838">
        <v>996</v>
      </c>
      <c r="AE262" s="874">
        <f t="shared" si="136"/>
        <v>0</v>
      </c>
      <c r="AF262" s="967"/>
      <c r="AG262" s="838" t="s">
        <v>55</v>
      </c>
      <c r="AH262" s="838"/>
      <c r="AI262" s="838">
        <f t="shared" si="144"/>
        <v>1992</v>
      </c>
      <c r="AJ262" s="838"/>
      <c r="AK262" s="970">
        <f t="shared" si="145"/>
        <v>1992</v>
      </c>
      <c r="AN262" s="838"/>
      <c r="AO262" s="838"/>
      <c r="AP262" s="973"/>
      <c r="AQ262" s="838">
        <f t="shared" si="146"/>
        <v>1992</v>
      </c>
      <c r="AR262" s="838"/>
      <c r="AS262" s="838"/>
      <c r="AT262" s="838"/>
      <c r="BC262" s="970"/>
      <c r="BL262" s="803">
        <f t="shared" si="147"/>
        <v>996</v>
      </c>
      <c r="BN262" s="803">
        <f t="shared" si="148"/>
        <v>996</v>
      </c>
      <c r="BO262" s="803">
        <f t="shared" si="149"/>
        <v>996</v>
      </c>
      <c r="BS262" s="892">
        <f t="shared" si="152"/>
        <v>1992</v>
      </c>
      <c r="BT262" s="892">
        <f>BT261+BS262</f>
        <v>2660612</v>
      </c>
      <c r="BU262" s="892"/>
      <c r="BV262" s="892"/>
      <c r="BW262" s="892"/>
      <c r="BX262" s="892"/>
      <c r="BY262" s="803">
        <f t="shared" si="150"/>
        <v>159388</v>
      </c>
      <c r="CA262" s="803">
        <f t="shared" si="153"/>
        <v>0</v>
      </c>
      <c r="CB262" s="892">
        <f>CB261+CA262</f>
        <v>51036.5714285714</v>
      </c>
      <c r="CC262" s="892"/>
      <c r="CD262" s="892"/>
      <c r="CE262" s="892"/>
      <c r="CF262" s="892">
        <f t="shared" si="151"/>
        <v>8963.4285714286</v>
      </c>
      <c r="CG262" s="892"/>
    </row>
    <row r="263" s="803" customFormat="1" ht="32" hidden="1" customHeight="1" spans="1:85">
      <c r="A263" s="919">
        <v>45988</v>
      </c>
      <c r="B263" s="920" t="s">
        <v>1255</v>
      </c>
      <c r="C263" s="921" t="s">
        <v>84</v>
      </c>
      <c r="D263" s="922">
        <v>4500187236</v>
      </c>
      <c r="E263" s="920">
        <v>770793</v>
      </c>
      <c r="F263" s="923" t="s">
        <v>2068</v>
      </c>
      <c r="G263" s="838" t="s">
        <v>1147</v>
      </c>
      <c r="H263" s="838" t="s">
        <v>1148</v>
      </c>
      <c r="I263" s="838">
        <v>1200</v>
      </c>
      <c r="J263" s="838">
        <v>0</v>
      </c>
      <c r="K263" s="838">
        <v>12</v>
      </c>
      <c r="L263" s="847">
        <f t="shared" si="142"/>
        <v>100</v>
      </c>
      <c r="M263" s="848">
        <v>46029</v>
      </c>
      <c r="N263" s="848">
        <v>46025</v>
      </c>
      <c r="O263" s="850"/>
      <c r="P263" s="938" t="s">
        <v>46</v>
      </c>
      <c r="Q263" s="838"/>
      <c r="R263" s="952">
        <v>45988</v>
      </c>
      <c r="S263" s="952" t="s">
        <v>58</v>
      </c>
      <c r="T263" s="952" t="s">
        <v>2062</v>
      </c>
      <c r="U263" s="953" t="s">
        <v>2069</v>
      </c>
      <c r="V263" s="848" t="s">
        <v>1260</v>
      </c>
      <c r="W263" s="865">
        <v>2.4244</v>
      </c>
      <c r="X263" s="866">
        <f t="shared" si="143"/>
        <v>2909.28</v>
      </c>
      <c r="Y263" s="838"/>
      <c r="Z263" s="838" t="s">
        <v>1884</v>
      </c>
      <c r="AA263" s="838" t="s">
        <v>53</v>
      </c>
      <c r="AB263" s="873" t="s">
        <v>54</v>
      </c>
      <c r="AC263" s="838"/>
      <c r="AD263" s="838">
        <v>1200</v>
      </c>
      <c r="AE263" s="874">
        <f t="shared" si="136"/>
        <v>0</v>
      </c>
      <c r="AF263" s="967"/>
      <c r="AG263" s="838" t="s">
        <v>55</v>
      </c>
      <c r="AH263" s="838"/>
      <c r="AI263" s="838">
        <f t="shared" si="144"/>
        <v>2400</v>
      </c>
      <c r="AJ263" s="838"/>
      <c r="AK263" s="970">
        <f t="shared" si="145"/>
        <v>2400</v>
      </c>
      <c r="AN263" s="838"/>
      <c r="AO263" s="838"/>
      <c r="AP263" s="973"/>
      <c r="AQ263" s="838">
        <f t="shared" si="146"/>
        <v>2400</v>
      </c>
      <c r="AR263" s="838"/>
      <c r="AS263" s="838"/>
      <c r="AT263" s="838"/>
      <c r="BC263" s="970"/>
      <c r="BL263" s="803">
        <f t="shared" si="147"/>
        <v>1200</v>
      </c>
      <c r="BN263" s="803">
        <f t="shared" si="148"/>
        <v>1200</v>
      </c>
      <c r="BO263" s="803">
        <f t="shared" si="149"/>
        <v>1200</v>
      </c>
      <c r="BS263" s="892">
        <f t="shared" si="152"/>
        <v>2400</v>
      </c>
      <c r="BT263" s="892">
        <f>BT262+BS263</f>
        <v>2663012</v>
      </c>
      <c r="BU263" s="892"/>
      <c r="BV263" s="892"/>
      <c r="BW263" s="892"/>
      <c r="BX263" s="892"/>
      <c r="BY263" s="803">
        <f t="shared" si="150"/>
        <v>156988</v>
      </c>
      <c r="CA263" s="803">
        <f t="shared" si="153"/>
        <v>0</v>
      </c>
      <c r="CB263" s="892">
        <f>CB262+CA263</f>
        <v>51036.5714285714</v>
      </c>
      <c r="CC263" s="892"/>
      <c r="CD263" s="892"/>
      <c r="CE263" s="892"/>
      <c r="CF263" s="892">
        <f t="shared" si="151"/>
        <v>8963.4285714286</v>
      </c>
      <c r="CG263" s="892"/>
    </row>
    <row r="264" s="803" customFormat="1" ht="32" hidden="1" customHeight="1" spans="1:85">
      <c r="A264" s="919">
        <v>45982</v>
      </c>
      <c r="B264" s="920" t="s">
        <v>715</v>
      </c>
      <c r="C264" s="921" t="s">
        <v>716</v>
      </c>
      <c r="D264" s="922">
        <v>4500186530</v>
      </c>
      <c r="E264" s="920" t="s">
        <v>2070</v>
      </c>
      <c r="F264" s="923" t="s">
        <v>2071</v>
      </c>
      <c r="G264" s="838" t="s">
        <v>1147</v>
      </c>
      <c r="H264" s="838" t="s">
        <v>1148</v>
      </c>
      <c r="I264" s="838">
        <v>12</v>
      </c>
      <c r="J264" s="838">
        <v>0</v>
      </c>
      <c r="K264" s="838">
        <v>12</v>
      </c>
      <c r="L264" s="847">
        <f t="shared" si="142"/>
        <v>1</v>
      </c>
      <c r="M264" s="848">
        <v>46031</v>
      </c>
      <c r="N264" s="848">
        <v>46027</v>
      </c>
      <c r="O264" s="850"/>
      <c r="P264" s="938" t="s">
        <v>46</v>
      </c>
      <c r="Q264" s="838"/>
      <c r="R264" s="952">
        <v>45982</v>
      </c>
      <c r="S264" s="952" t="s">
        <v>48</v>
      </c>
      <c r="T264" s="952" t="s">
        <v>2072</v>
      </c>
      <c r="U264" s="953" t="s">
        <v>2073</v>
      </c>
      <c r="V264" s="848" t="s">
        <v>721</v>
      </c>
      <c r="W264" s="865">
        <v>4.1214</v>
      </c>
      <c r="X264" s="866">
        <f t="shared" si="143"/>
        <v>49.4568</v>
      </c>
      <c r="Y264" s="838"/>
      <c r="Z264" s="838" t="s">
        <v>1709</v>
      </c>
      <c r="AA264" s="838" t="s">
        <v>53</v>
      </c>
      <c r="AB264" s="873" t="s">
        <v>54</v>
      </c>
      <c r="AC264" s="838"/>
      <c r="AD264" s="838">
        <v>12</v>
      </c>
      <c r="AE264" s="874">
        <f t="shared" si="136"/>
        <v>0</v>
      </c>
      <c r="AF264" s="967"/>
      <c r="AG264" s="838" t="s">
        <v>55</v>
      </c>
      <c r="AH264" s="838"/>
      <c r="AI264" s="838">
        <f t="shared" si="144"/>
        <v>24</v>
      </c>
      <c r="AJ264" s="838"/>
      <c r="AK264" s="970"/>
      <c r="AM264" s="803">
        <f>I264*2</f>
        <v>24</v>
      </c>
      <c r="AN264" s="838"/>
      <c r="AO264" s="838"/>
      <c r="AP264" s="973"/>
      <c r="AQ264" s="838">
        <f t="shared" si="146"/>
        <v>24</v>
      </c>
      <c r="AR264" s="838"/>
      <c r="AS264" s="838"/>
      <c r="AT264" s="838"/>
      <c r="BC264" s="970"/>
      <c r="BL264" s="803">
        <f t="shared" si="147"/>
        <v>12</v>
      </c>
      <c r="BN264" s="803">
        <f t="shared" si="148"/>
        <v>12</v>
      </c>
      <c r="BO264" s="803">
        <f t="shared" si="149"/>
        <v>12</v>
      </c>
      <c r="BS264" s="892">
        <f t="shared" si="152"/>
        <v>24</v>
      </c>
      <c r="BT264" s="892">
        <f>BT263+BS264</f>
        <v>2663036</v>
      </c>
      <c r="BU264" s="892"/>
      <c r="BV264" s="892"/>
      <c r="BW264" s="892"/>
      <c r="BX264" s="892"/>
      <c r="BY264" s="803">
        <f t="shared" si="150"/>
        <v>156964</v>
      </c>
      <c r="CA264" s="803">
        <f t="shared" si="153"/>
        <v>0</v>
      </c>
      <c r="CB264" s="892">
        <f>CB263+CA264</f>
        <v>51036.5714285714</v>
      </c>
      <c r="CC264" s="892"/>
      <c r="CD264" s="892"/>
      <c r="CE264" s="892"/>
      <c r="CF264" s="892">
        <f t="shared" si="151"/>
        <v>8963.4285714286</v>
      </c>
      <c r="CG264" s="892"/>
    </row>
    <row r="265" s="803" customFormat="1" ht="32" hidden="1" customHeight="1" spans="1:85">
      <c r="A265" s="919">
        <v>45971</v>
      </c>
      <c r="B265" s="920" t="s">
        <v>372</v>
      </c>
      <c r="C265" s="921" t="s">
        <v>84</v>
      </c>
      <c r="D265" s="922">
        <v>4500184640</v>
      </c>
      <c r="E265" s="920" t="s">
        <v>2074</v>
      </c>
      <c r="F265" s="923" t="s">
        <v>2075</v>
      </c>
      <c r="G265" s="838" t="s">
        <v>1147</v>
      </c>
      <c r="H265" s="838" t="s">
        <v>1148</v>
      </c>
      <c r="I265" s="838">
        <v>48</v>
      </c>
      <c r="J265" s="838">
        <v>0</v>
      </c>
      <c r="K265" s="838">
        <v>12</v>
      </c>
      <c r="L265" s="847">
        <f t="shared" si="142"/>
        <v>4</v>
      </c>
      <c r="M265" s="848">
        <v>46036</v>
      </c>
      <c r="N265" s="848">
        <v>46034</v>
      </c>
      <c r="O265" s="850"/>
      <c r="P265" s="938" t="s">
        <v>46</v>
      </c>
      <c r="Q265" s="838"/>
      <c r="R265" s="952">
        <v>45971</v>
      </c>
      <c r="S265" s="952" t="s">
        <v>48</v>
      </c>
      <c r="T265" s="952" t="s">
        <v>2072</v>
      </c>
      <c r="U265" s="953" t="s">
        <v>2076</v>
      </c>
      <c r="V265" s="848" t="s">
        <v>89</v>
      </c>
      <c r="W265" s="865">
        <v>2.4244</v>
      </c>
      <c r="X265" s="866">
        <f t="shared" si="143"/>
        <v>116.3712</v>
      </c>
      <c r="Y265" s="838"/>
      <c r="Z265" s="838" t="s">
        <v>1884</v>
      </c>
      <c r="AA265" s="838" t="s">
        <v>53</v>
      </c>
      <c r="AB265" s="873" t="s">
        <v>54</v>
      </c>
      <c r="AC265" s="838"/>
      <c r="AD265" s="838">
        <v>48</v>
      </c>
      <c r="AE265" s="874">
        <f t="shared" si="136"/>
        <v>0</v>
      </c>
      <c r="AF265" s="967"/>
      <c r="AG265" s="838" t="s">
        <v>55</v>
      </c>
      <c r="AH265" s="838"/>
      <c r="AI265" s="838">
        <f t="shared" si="144"/>
        <v>96</v>
      </c>
      <c r="AJ265" s="838"/>
      <c r="AK265" s="970">
        <f>I265*2</f>
        <v>96</v>
      </c>
      <c r="AN265" s="838"/>
      <c r="AO265" s="838"/>
      <c r="AP265" s="973"/>
      <c r="AQ265" s="838">
        <f t="shared" si="146"/>
        <v>96</v>
      </c>
      <c r="AR265" s="838"/>
      <c r="AS265" s="838"/>
      <c r="AT265" s="838"/>
      <c r="BC265" s="970"/>
      <c r="BL265" s="803">
        <f t="shared" si="147"/>
        <v>48</v>
      </c>
      <c r="BM265" s="803">
        <f>I265</f>
        <v>48</v>
      </c>
      <c r="BO265" s="803">
        <f t="shared" si="149"/>
        <v>48</v>
      </c>
      <c r="BS265" s="892">
        <f t="shared" si="152"/>
        <v>96</v>
      </c>
      <c r="BT265" s="892">
        <f>BT268+BS265</f>
        <v>2654492</v>
      </c>
      <c r="BU265" s="892"/>
      <c r="BV265" s="892"/>
      <c r="BW265" s="892"/>
      <c r="BX265" s="892"/>
      <c r="BY265" s="803">
        <f t="shared" si="150"/>
        <v>165508</v>
      </c>
      <c r="CA265" s="803">
        <f t="shared" si="153"/>
        <v>0</v>
      </c>
      <c r="CB265" s="892">
        <f>CB268+CA265</f>
        <v>51036.5714285714</v>
      </c>
      <c r="CC265" s="892"/>
      <c r="CD265" s="892"/>
      <c r="CE265" s="892"/>
      <c r="CF265" s="892">
        <f t="shared" si="151"/>
        <v>8963.4285714286</v>
      </c>
      <c r="CG265" s="892"/>
    </row>
    <row r="266" s="803" customFormat="1" ht="32" hidden="1" customHeight="1" spans="1:85">
      <c r="A266" s="919">
        <v>45971</v>
      </c>
      <c r="B266" s="920" t="s">
        <v>372</v>
      </c>
      <c r="C266" s="921" t="s">
        <v>84</v>
      </c>
      <c r="D266" s="922">
        <v>4500184640</v>
      </c>
      <c r="E266" s="920" t="s">
        <v>2077</v>
      </c>
      <c r="F266" s="923" t="s">
        <v>2078</v>
      </c>
      <c r="G266" s="838" t="s">
        <v>1147</v>
      </c>
      <c r="H266" s="838" t="s">
        <v>1148</v>
      </c>
      <c r="I266" s="838">
        <v>264</v>
      </c>
      <c r="J266" s="838">
        <v>0</v>
      </c>
      <c r="K266" s="838">
        <v>12</v>
      </c>
      <c r="L266" s="847">
        <f t="shared" si="142"/>
        <v>22</v>
      </c>
      <c r="M266" s="848">
        <v>46036</v>
      </c>
      <c r="N266" s="848">
        <v>46034</v>
      </c>
      <c r="O266" s="850"/>
      <c r="P266" s="938" t="s">
        <v>46</v>
      </c>
      <c r="Q266" s="838"/>
      <c r="R266" s="952">
        <v>45971</v>
      </c>
      <c r="S266" s="952" t="s">
        <v>48</v>
      </c>
      <c r="T266" s="952" t="s">
        <v>2072</v>
      </c>
      <c r="U266" s="953" t="s">
        <v>2076</v>
      </c>
      <c r="V266" s="848" t="s">
        <v>89</v>
      </c>
      <c r="W266" s="865">
        <v>2.4244</v>
      </c>
      <c r="X266" s="866">
        <f t="shared" si="143"/>
        <v>640.0416</v>
      </c>
      <c r="Y266" s="838"/>
      <c r="Z266" s="838" t="s">
        <v>1884</v>
      </c>
      <c r="AA266" s="838" t="s">
        <v>53</v>
      </c>
      <c r="AB266" s="873" t="s">
        <v>54</v>
      </c>
      <c r="AC266" s="838"/>
      <c r="AD266" s="838">
        <v>264</v>
      </c>
      <c r="AE266" s="874">
        <f t="shared" si="136"/>
        <v>0</v>
      </c>
      <c r="AF266" s="967"/>
      <c r="AG266" s="838" t="s">
        <v>55</v>
      </c>
      <c r="AH266" s="838"/>
      <c r="AI266" s="838">
        <f t="shared" si="144"/>
        <v>528</v>
      </c>
      <c r="AJ266" s="838"/>
      <c r="AK266" s="970">
        <f>I266*2</f>
        <v>528</v>
      </c>
      <c r="AN266" s="838"/>
      <c r="AO266" s="838"/>
      <c r="AP266" s="973"/>
      <c r="AQ266" s="838">
        <f t="shared" si="146"/>
        <v>528</v>
      </c>
      <c r="AR266" s="838"/>
      <c r="AS266" s="838"/>
      <c r="AT266" s="838"/>
      <c r="BC266" s="970"/>
      <c r="BL266" s="803">
        <f t="shared" si="147"/>
        <v>264</v>
      </c>
      <c r="BM266" s="803">
        <f>I266</f>
        <v>264</v>
      </c>
      <c r="BO266" s="803">
        <f t="shared" si="149"/>
        <v>264</v>
      </c>
      <c r="BS266" s="892">
        <f t="shared" si="152"/>
        <v>528</v>
      </c>
      <c r="BT266" s="892">
        <f>BT265+BS266</f>
        <v>2655020</v>
      </c>
      <c r="BU266" s="892"/>
      <c r="BV266" s="892"/>
      <c r="BW266" s="892"/>
      <c r="BX266" s="892"/>
      <c r="BY266" s="803">
        <f t="shared" si="150"/>
        <v>164980</v>
      </c>
      <c r="CA266" s="803">
        <f t="shared" si="153"/>
        <v>0</v>
      </c>
      <c r="CB266" s="892">
        <f>CB265+CA266</f>
        <v>51036.5714285714</v>
      </c>
      <c r="CC266" s="892"/>
      <c r="CD266" s="892"/>
      <c r="CE266" s="892"/>
      <c r="CF266" s="892">
        <f t="shared" si="151"/>
        <v>8963.4285714286</v>
      </c>
      <c r="CG266" s="892"/>
    </row>
    <row r="267" s="803" customFormat="1" ht="32" hidden="1" customHeight="1" spans="1:85">
      <c r="A267" s="919">
        <v>45971</v>
      </c>
      <c r="B267" s="920" t="s">
        <v>372</v>
      </c>
      <c r="C267" s="921" t="s">
        <v>84</v>
      </c>
      <c r="D267" s="922">
        <v>4500184679</v>
      </c>
      <c r="E267" s="920" t="s">
        <v>2079</v>
      </c>
      <c r="F267" s="923" t="s">
        <v>2080</v>
      </c>
      <c r="G267" s="838" t="s">
        <v>1147</v>
      </c>
      <c r="H267" s="838" t="s">
        <v>1148</v>
      </c>
      <c r="I267" s="838">
        <v>276</v>
      </c>
      <c r="J267" s="838">
        <v>0</v>
      </c>
      <c r="K267" s="838">
        <v>12</v>
      </c>
      <c r="L267" s="847">
        <f t="shared" si="142"/>
        <v>23</v>
      </c>
      <c r="M267" s="848">
        <v>46036</v>
      </c>
      <c r="N267" s="848">
        <v>46032</v>
      </c>
      <c r="O267" s="850"/>
      <c r="P267" s="938" t="s">
        <v>46</v>
      </c>
      <c r="Q267" s="838"/>
      <c r="R267" s="952">
        <v>45971</v>
      </c>
      <c r="S267" s="952" t="s">
        <v>48</v>
      </c>
      <c r="T267" s="952" t="s">
        <v>2072</v>
      </c>
      <c r="U267" s="953" t="s">
        <v>2076</v>
      </c>
      <c r="V267" s="848" t="s">
        <v>89</v>
      </c>
      <c r="W267" s="865">
        <v>2.4244</v>
      </c>
      <c r="X267" s="866">
        <f t="shared" si="143"/>
        <v>669.1344</v>
      </c>
      <c r="Y267" s="838"/>
      <c r="Z267" s="838" t="s">
        <v>1884</v>
      </c>
      <c r="AA267" s="838" t="s">
        <v>53</v>
      </c>
      <c r="AB267" s="873" t="s">
        <v>54</v>
      </c>
      <c r="AC267" s="838"/>
      <c r="AD267" s="838">
        <v>276</v>
      </c>
      <c r="AE267" s="874">
        <f t="shared" si="136"/>
        <v>0</v>
      </c>
      <c r="AF267" s="967"/>
      <c r="AG267" s="838" t="s">
        <v>55</v>
      </c>
      <c r="AH267" s="838"/>
      <c r="AI267" s="838">
        <f t="shared" si="144"/>
        <v>552</v>
      </c>
      <c r="AJ267" s="838"/>
      <c r="AK267" s="970">
        <f>I267*2</f>
        <v>552</v>
      </c>
      <c r="AN267" s="838"/>
      <c r="AO267" s="838"/>
      <c r="AP267" s="973"/>
      <c r="AQ267" s="838">
        <f t="shared" si="146"/>
        <v>552</v>
      </c>
      <c r="AR267" s="838"/>
      <c r="AS267" s="838"/>
      <c r="AT267" s="838"/>
      <c r="BC267" s="970"/>
      <c r="BL267" s="803">
        <f t="shared" si="147"/>
        <v>276</v>
      </c>
      <c r="BM267" s="803">
        <f>I267</f>
        <v>276</v>
      </c>
      <c r="BO267" s="803">
        <f t="shared" si="149"/>
        <v>276</v>
      </c>
      <c r="BS267" s="892">
        <f t="shared" si="152"/>
        <v>552</v>
      </c>
      <c r="BT267" s="892">
        <f>BT259+BS267</f>
        <v>2654348</v>
      </c>
      <c r="BU267" s="892"/>
      <c r="BV267" s="892"/>
      <c r="BW267" s="892"/>
      <c r="BX267" s="892"/>
      <c r="BY267" s="803">
        <f t="shared" si="150"/>
        <v>165652</v>
      </c>
      <c r="CA267" s="803">
        <f t="shared" si="153"/>
        <v>0</v>
      </c>
      <c r="CB267" s="892">
        <f>CB259+CA267</f>
        <v>51036.5714285714</v>
      </c>
      <c r="CC267" s="892"/>
      <c r="CD267" s="892"/>
      <c r="CE267" s="892"/>
      <c r="CF267" s="892">
        <f t="shared" si="151"/>
        <v>8963.4285714286</v>
      </c>
      <c r="CG267" s="892"/>
    </row>
    <row r="268" s="803" customFormat="1" ht="32" hidden="1" customHeight="1" spans="1:85">
      <c r="A268" s="919">
        <v>45971</v>
      </c>
      <c r="B268" s="920" t="s">
        <v>372</v>
      </c>
      <c r="C268" s="921" t="s">
        <v>84</v>
      </c>
      <c r="D268" s="922">
        <v>4500184679</v>
      </c>
      <c r="E268" s="920" t="s">
        <v>2081</v>
      </c>
      <c r="F268" s="923" t="s">
        <v>2082</v>
      </c>
      <c r="G268" s="838" t="s">
        <v>1147</v>
      </c>
      <c r="H268" s="838" t="s">
        <v>1148</v>
      </c>
      <c r="I268" s="838">
        <v>24</v>
      </c>
      <c r="J268" s="838">
        <v>0</v>
      </c>
      <c r="K268" s="838">
        <v>12</v>
      </c>
      <c r="L268" s="847">
        <f t="shared" si="142"/>
        <v>2</v>
      </c>
      <c r="M268" s="848">
        <v>46036</v>
      </c>
      <c r="N268" s="848">
        <v>46032</v>
      </c>
      <c r="O268" s="850"/>
      <c r="P268" s="938" t="s">
        <v>46</v>
      </c>
      <c r="Q268" s="838"/>
      <c r="R268" s="952">
        <v>45971</v>
      </c>
      <c r="S268" s="952" t="s">
        <v>48</v>
      </c>
      <c r="T268" s="952" t="s">
        <v>2072</v>
      </c>
      <c r="U268" s="953" t="s">
        <v>2076</v>
      </c>
      <c r="V268" s="848" t="s">
        <v>89</v>
      </c>
      <c r="W268" s="865">
        <v>2.4244</v>
      </c>
      <c r="X268" s="866">
        <f t="shared" si="143"/>
        <v>58.1856</v>
      </c>
      <c r="Y268" s="838"/>
      <c r="Z268" s="838" t="s">
        <v>1884</v>
      </c>
      <c r="AA268" s="838" t="s">
        <v>53</v>
      </c>
      <c r="AB268" s="873" t="s">
        <v>54</v>
      </c>
      <c r="AC268" s="838"/>
      <c r="AD268" s="838">
        <v>24</v>
      </c>
      <c r="AE268" s="874">
        <f t="shared" si="136"/>
        <v>0</v>
      </c>
      <c r="AF268" s="967"/>
      <c r="AG268" s="838" t="s">
        <v>55</v>
      </c>
      <c r="AH268" s="838"/>
      <c r="AI268" s="838">
        <f t="shared" si="144"/>
        <v>48</v>
      </c>
      <c r="AJ268" s="838"/>
      <c r="AK268" s="970">
        <f>I268*2</f>
        <v>48</v>
      </c>
      <c r="AN268" s="838"/>
      <c r="AO268" s="838"/>
      <c r="AP268" s="973"/>
      <c r="AQ268" s="838">
        <f t="shared" si="146"/>
        <v>48</v>
      </c>
      <c r="AR268" s="838"/>
      <c r="AS268" s="838"/>
      <c r="AT268" s="838"/>
      <c r="BC268" s="970"/>
      <c r="BL268" s="803">
        <f t="shared" si="147"/>
        <v>24</v>
      </c>
      <c r="BM268" s="803">
        <f>I268</f>
        <v>24</v>
      </c>
      <c r="BO268" s="803">
        <f t="shared" si="149"/>
        <v>24</v>
      </c>
      <c r="BS268" s="892">
        <f t="shared" si="152"/>
        <v>48</v>
      </c>
      <c r="BT268" s="892">
        <f>BT267+BS268</f>
        <v>2654396</v>
      </c>
      <c r="BU268" s="892"/>
      <c r="BV268" s="892"/>
      <c r="BW268" s="892"/>
      <c r="BX268" s="892"/>
      <c r="BY268" s="803">
        <f t="shared" si="150"/>
        <v>165604</v>
      </c>
      <c r="CA268" s="803">
        <f t="shared" si="153"/>
        <v>0</v>
      </c>
      <c r="CB268" s="892">
        <f>CB267+CA268</f>
        <v>51036.5714285714</v>
      </c>
      <c r="CC268" s="892"/>
      <c r="CD268" s="892"/>
      <c r="CE268" s="892"/>
      <c r="CF268" s="892">
        <f t="shared" si="151"/>
        <v>8963.4285714286</v>
      </c>
      <c r="CG268" s="892"/>
    </row>
    <row r="269" s="803" customFormat="1" ht="32" hidden="1" customHeight="1" spans="1:85">
      <c r="A269" s="919">
        <v>45989</v>
      </c>
      <c r="B269" s="920" t="s">
        <v>715</v>
      </c>
      <c r="C269" s="921" t="s">
        <v>716</v>
      </c>
      <c r="D269" s="922">
        <v>4500187446</v>
      </c>
      <c r="E269" s="920" t="s">
        <v>2083</v>
      </c>
      <c r="F269" s="923" t="s">
        <v>2084</v>
      </c>
      <c r="G269" s="838" t="s">
        <v>1147</v>
      </c>
      <c r="H269" s="838" t="s">
        <v>1148</v>
      </c>
      <c r="I269" s="838">
        <v>12</v>
      </c>
      <c r="J269" s="838">
        <v>0</v>
      </c>
      <c r="K269" s="838">
        <v>12</v>
      </c>
      <c r="L269" s="847">
        <f t="shared" si="142"/>
        <v>1</v>
      </c>
      <c r="M269" s="848">
        <v>46038</v>
      </c>
      <c r="N269" s="848">
        <v>46034</v>
      </c>
      <c r="O269" s="850"/>
      <c r="P269" s="938" t="s">
        <v>46</v>
      </c>
      <c r="Q269" s="838"/>
      <c r="R269" s="952">
        <v>45989</v>
      </c>
      <c r="S269" s="952" t="s">
        <v>48</v>
      </c>
      <c r="T269" s="952" t="s">
        <v>2085</v>
      </c>
      <c r="U269" s="953" t="s">
        <v>2086</v>
      </c>
      <c r="V269" s="848" t="s">
        <v>721</v>
      </c>
      <c r="W269" s="865">
        <v>4.1214</v>
      </c>
      <c r="X269" s="866">
        <f t="shared" si="143"/>
        <v>49.4568</v>
      </c>
      <c r="Y269" s="838"/>
      <c r="Z269" s="838" t="s">
        <v>1709</v>
      </c>
      <c r="AA269" s="838" t="s">
        <v>53</v>
      </c>
      <c r="AB269" s="873" t="s">
        <v>54</v>
      </c>
      <c r="AC269" s="838"/>
      <c r="AD269" s="838">
        <v>12</v>
      </c>
      <c r="AE269" s="874">
        <f t="shared" si="136"/>
        <v>0</v>
      </c>
      <c r="AF269" s="967"/>
      <c r="AG269" s="838" t="s">
        <v>55</v>
      </c>
      <c r="AH269" s="838"/>
      <c r="AI269" s="838">
        <f t="shared" si="144"/>
        <v>24</v>
      </c>
      <c r="AJ269" s="838"/>
      <c r="AK269" s="970"/>
      <c r="AM269" s="803">
        <f>I269*2</f>
        <v>24</v>
      </c>
      <c r="AN269" s="838"/>
      <c r="AO269" s="838"/>
      <c r="AP269" s="973"/>
      <c r="AQ269" s="838">
        <f t="shared" si="146"/>
        <v>24</v>
      </c>
      <c r="AR269" s="838"/>
      <c r="AS269" s="838"/>
      <c r="AT269" s="838"/>
      <c r="BC269" s="970"/>
      <c r="BL269" s="803">
        <f t="shared" si="147"/>
        <v>12</v>
      </c>
      <c r="BN269" s="803">
        <f>I269</f>
        <v>12</v>
      </c>
      <c r="BO269" s="803">
        <f t="shared" si="149"/>
        <v>12</v>
      </c>
      <c r="BS269" s="892">
        <f t="shared" si="152"/>
        <v>24</v>
      </c>
      <c r="BT269" s="892">
        <f>BT264+BS269</f>
        <v>2663060</v>
      </c>
      <c r="BU269" s="892"/>
      <c r="BV269" s="892"/>
      <c r="BW269" s="892"/>
      <c r="BX269" s="892"/>
      <c r="BY269" s="803">
        <f t="shared" si="150"/>
        <v>156940</v>
      </c>
      <c r="CA269" s="803">
        <f t="shared" ref="CA260:CA283" si="154">AU269+AV269+BC269+BD269</f>
        <v>0</v>
      </c>
      <c r="CB269" s="892">
        <f>CB264+CA269</f>
        <v>51036.5714285714</v>
      </c>
      <c r="CC269" s="892"/>
      <c r="CD269" s="892"/>
      <c r="CE269" s="892"/>
      <c r="CF269" s="892">
        <f t="shared" si="151"/>
        <v>8963.4285714286</v>
      </c>
      <c r="CG269" s="892"/>
    </row>
    <row r="270" s="803" customFormat="1" ht="32" hidden="1" customHeight="1" spans="1:85">
      <c r="A270" s="919">
        <v>45989</v>
      </c>
      <c r="B270" s="920" t="s">
        <v>715</v>
      </c>
      <c r="C270" s="921" t="s">
        <v>716</v>
      </c>
      <c r="D270" s="922">
        <v>4500187446</v>
      </c>
      <c r="E270" s="920" t="s">
        <v>2087</v>
      </c>
      <c r="F270" s="923" t="s">
        <v>2088</v>
      </c>
      <c r="G270" s="838" t="s">
        <v>1147</v>
      </c>
      <c r="H270" s="838" t="s">
        <v>1148</v>
      </c>
      <c r="I270" s="838">
        <v>12</v>
      </c>
      <c r="J270" s="838">
        <v>0</v>
      </c>
      <c r="K270" s="838">
        <v>12</v>
      </c>
      <c r="L270" s="847">
        <f t="shared" si="142"/>
        <v>1</v>
      </c>
      <c r="M270" s="848">
        <v>46038</v>
      </c>
      <c r="N270" s="848">
        <v>46034</v>
      </c>
      <c r="O270" s="850"/>
      <c r="P270" s="938" t="s">
        <v>46</v>
      </c>
      <c r="Q270" s="838"/>
      <c r="R270" s="952">
        <v>45989</v>
      </c>
      <c r="S270" s="952" t="s">
        <v>48</v>
      </c>
      <c r="T270" s="952" t="s">
        <v>2085</v>
      </c>
      <c r="U270" s="953" t="s">
        <v>2086</v>
      </c>
      <c r="V270" s="848" t="s">
        <v>721</v>
      </c>
      <c r="W270" s="865">
        <v>4.1214</v>
      </c>
      <c r="X270" s="866">
        <f t="shared" si="143"/>
        <v>49.4568</v>
      </c>
      <c r="Y270" s="838"/>
      <c r="Z270" s="838" t="s">
        <v>1709</v>
      </c>
      <c r="AA270" s="838" t="s">
        <v>53</v>
      </c>
      <c r="AB270" s="873" t="s">
        <v>54</v>
      </c>
      <c r="AC270" s="838"/>
      <c r="AD270" s="838">
        <v>12</v>
      </c>
      <c r="AE270" s="874">
        <f t="shared" si="136"/>
        <v>0</v>
      </c>
      <c r="AF270" s="967"/>
      <c r="AG270" s="838" t="s">
        <v>55</v>
      </c>
      <c r="AH270" s="838"/>
      <c r="AI270" s="838">
        <f t="shared" si="144"/>
        <v>24</v>
      </c>
      <c r="AJ270" s="838"/>
      <c r="AK270" s="970"/>
      <c r="AM270" s="803">
        <f t="shared" ref="AM270:AM278" si="155">I270*2</f>
        <v>24</v>
      </c>
      <c r="AN270" s="838"/>
      <c r="AO270" s="838"/>
      <c r="AP270" s="973"/>
      <c r="AQ270" s="838">
        <f t="shared" si="146"/>
        <v>24</v>
      </c>
      <c r="AR270" s="838"/>
      <c r="AS270" s="838"/>
      <c r="AT270" s="838"/>
      <c r="BC270" s="970"/>
      <c r="BL270" s="803">
        <f t="shared" si="147"/>
        <v>12</v>
      </c>
      <c r="BN270" s="803">
        <f>I270</f>
        <v>12</v>
      </c>
      <c r="BO270" s="803">
        <f t="shared" si="149"/>
        <v>12</v>
      </c>
      <c r="BS270" s="892">
        <f t="shared" si="152"/>
        <v>24</v>
      </c>
      <c r="BT270" s="892">
        <f>BT269+BS270</f>
        <v>2663084</v>
      </c>
      <c r="BU270" s="892"/>
      <c r="BV270" s="892"/>
      <c r="BW270" s="892"/>
      <c r="BX270" s="892"/>
      <c r="BY270" s="803">
        <f t="shared" si="150"/>
        <v>156916</v>
      </c>
      <c r="CA270" s="803">
        <f t="shared" si="154"/>
        <v>0</v>
      </c>
      <c r="CB270" s="892">
        <f>CB269+CA270</f>
        <v>51036.5714285714</v>
      </c>
      <c r="CC270" s="892"/>
      <c r="CD270" s="892"/>
      <c r="CE270" s="892"/>
      <c r="CF270" s="892">
        <f t="shared" si="151"/>
        <v>8963.4285714286</v>
      </c>
      <c r="CG270" s="892"/>
    </row>
    <row r="271" s="803" customFormat="1" ht="32" hidden="1" customHeight="1" spans="1:85">
      <c r="A271" s="919">
        <v>45989</v>
      </c>
      <c r="B271" s="920" t="s">
        <v>715</v>
      </c>
      <c r="C271" s="921" t="s">
        <v>716</v>
      </c>
      <c r="D271" s="922">
        <v>4500187446</v>
      </c>
      <c r="E271" s="920" t="s">
        <v>2089</v>
      </c>
      <c r="F271" s="923" t="s">
        <v>2090</v>
      </c>
      <c r="G271" s="838" t="s">
        <v>1147</v>
      </c>
      <c r="H271" s="838" t="s">
        <v>1148</v>
      </c>
      <c r="I271" s="838">
        <v>12</v>
      </c>
      <c r="J271" s="838">
        <v>0</v>
      </c>
      <c r="K271" s="838">
        <v>12</v>
      </c>
      <c r="L271" s="847">
        <f t="shared" si="142"/>
        <v>1</v>
      </c>
      <c r="M271" s="848">
        <v>46038</v>
      </c>
      <c r="N271" s="848">
        <v>46034</v>
      </c>
      <c r="O271" s="850"/>
      <c r="P271" s="938" t="s">
        <v>46</v>
      </c>
      <c r="Q271" s="838"/>
      <c r="R271" s="952">
        <v>45989</v>
      </c>
      <c r="S271" s="952" t="s">
        <v>48</v>
      </c>
      <c r="T271" s="952" t="s">
        <v>2085</v>
      </c>
      <c r="U271" s="953" t="s">
        <v>2086</v>
      </c>
      <c r="V271" s="848" t="s">
        <v>721</v>
      </c>
      <c r="W271" s="865">
        <v>4.1214</v>
      </c>
      <c r="X271" s="866">
        <f t="shared" si="143"/>
        <v>49.4568</v>
      </c>
      <c r="Y271" s="838"/>
      <c r="Z271" s="838" t="s">
        <v>1709</v>
      </c>
      <c r="AA271" s="838" t="s">
        <v>53</v>
      </c>
      <c r="AB271" s="873" t="s">
        <v>54</v>
      </c>
      <c r="AC271" s="838"/>
      <c r="AD271" s="838">
        <v>12</v>
      </c>
      <c r="AE271" s="874">
        <f t="shared" si="136"/>
        <v>0</v>
      </c>
      <c r="AF271" s="967"/>
      <c r="AG271" s="838" t="s">
        <v>55</v>
      </c>
      <c r="AH271" s="838"/>
      <c r="AI271" s="838">
        <f t="shared" si="144"/>
        <v>24</v>
      </c>
      <c r="AJ271" s="838"/>
      <c r="AK271" s="970"/>
      <c r="AM271" s="803">
        <f t="shared" si="155"/>
        <v>24</v>
      </c>
      <c r="AN271" s="838"/>
      <c r="AO271" s="838"/>
      <c r="AP271" s="973"/>
      <c r="AQ271" s="838">
        <f t="shared" si="146"/>
        <v>24</v>
      </c>
      <c r="AR271" s="838"/>
      <c r="AS271" s="838"/>
      <c r="AT271" s="838"/>
      <c r="BC271" s="970"/>
      <c r="BL271" s="803">
        <f t="shared" si="147"/>
        <v>12</v>
      </c>
      <c r="BN271" s="803">
        <f>I271</f>
        <v>12</v>
      </c>
      <c r="BO271" s="803">
        <f t="shared" si="149"/>
        <v>12</v>
      </c>
      <c r="BS271" s="892">
        <f t="shared" si="152"/>
        <v>24</v>
      </c>
      <c r="BT271" s="892">
        <f>BT270+BS271</f>
        <v>2663108</v>
      </c>
      <c r="BU271" s="892"/>
      <c r="BV271" s="892"/>
      <c r="BW271" s="892"/>
      <c r="BX271" s="892"/>
      <c r="BY271" s="803">
        <f t="shared" si="150"/>
        <v>156892</v>
      </c>
      <c r="CA271" s="803">
        <f t="shared" si="154"/>
        <v>0</v>
      </c>
      <c r="CB271" s="892">
        <f>CB270+CA271</f>
        <v>51036.5714285714</v>
      </c>
      <c r="CC271" s="892"/>
      <c r="CD271" s="892"/>
      <c r="CE271" s="892"/>
      <c r="CF271" s="892">
        <f t="shared" si="151"/>
        <v>8963.4285714286</v>
      </c>
      <c r="CG271" s="892"/>
    </row>
    <row r="272" s="805" customFormat="1" ht="32" customHeight="1" spans="1:16384">
      <c r="A272" s="909">
        <v>46014</v>
      </c>
      <c r="B272" s="910" t="s">
        <v>933</v>
      </c>
      <c r="C272" s="911" t="s">
        <v>934</v>
      </c>
      <c r="D272" s="912">
        <v>4500189691</v>
      </c>
      <c r="E272" s="910"/>
      <c r="F272" s="912" t="s">
        <v>2091</v>
      </c>
      <c r="G272" s="285" t="s">
        <v>1155</v>
      </c>
      <c r="H272" s="285" t="s">
        <v>1140</v>
      </c>
      <c r="I272" s="285">
        <v>600</v>
      </c>
      <c r="J272" s="285">
        <v>0</v>
      </c>
      <c r="K272" s="285">
        <v>50</v>
      </c>
      <c r="L272" s="931">
        <f t="shared" si="142"/>
        <v>12</v>
      </c>
      <c r="M272" s="1000">
        <v>46052</v>
      </c>
      <c r="N272" s="1000">
        <v>46048</v>
      </c>
      <c r="O272" s="933"/>
      <c r="P272" s="934"/>
      <c r="Q272" s="285"/>
      <c r="R272" s="945">
        <v>46386</v>
      </c>
      <c r="S272" s="945" t="s">
        <v>58</v>
      </c>
      <c r="T272" s="1019" t="s">
        <v>940</v>
      </c>
      <c r="U272" s="946" t="s">
        <v>2092</v>
      </c>
      <c r="V272" s="932" t="s">
        <v>938</v>
      </c>
      <c r="W272" s="1020">
        <v>1.9438</v>
      </c>
      <c r="X272" s="947">
        <f t="shared" si="143"/>
        <v>1166.28</v>
      </c>
      <c r="Y272" s="285"/>
      <c r="Z272" s="285" t="s">
        <v>1160</v>
      </c>
      <c r="AA272" s="285" t="s">
        <v>53</v>
      </c>
      <c r="AB272" s="1035" t="s">
        <v>2093</v>
      </c>
      <c r="AC272" s="285"/>
      <c r="AD272" s="285">
        <v>600</v>
      </c>
      <c r="AE272" s="895">
        <f t="shared" si="136"/>
        <v>0</v>
      </c>
      <c r="AF272" s="962"/>
      <c r="AG272" s="285" t="s">
        <v>55</v>
      </c>
      <c r="AH272" s="285"/>
      <c r="AI272" s="285">
        <f>I272</f>
        <v>600</v>
      </c>
      <c r="AJ272" s="285"/>
      <c r="AK272" s="968"/>
      <c r="AN272" s="285">
        <f>I272</f>
        <v>600</v>
      </c>
      <c r="AO272" s="285"/>
      <c r="AP272" s="973"/>
      <c r="AQ272" s="285">
        <f>I272</f>
        <v>600</v>
      </c>
      <c r="AR272" s="285"/>
      <c r="AS272" s="285"/>
      <c r="BB272" s="968"/>
      <c r="BD272" s="805">
        <f>I272/25</f>
        <v>24</v>
      </c>
      <c r="BR272" s="291"/>
      <c r="BS272" s="291">
        <f t="shared" si="152"/>
        <v>600</v>
      </c>
      <c r="BT272" s="291">
        <f>BT271+BS272</f>
        <v>2663708</v>
      </c>
      <c r="BU272" s="291"/>
      <c r="BV272" s="291"/>
      <c r="BW272" s="291"/>
      <c r="BY272" s="805">
        <f t="shared" si="150"/>
        <v>156292</v>
      </c>
      <c r="CA272" s="805">
        <f t="shared" si="154"/>
        <v>24</v>
      </c>
      <c r="CB272" s="291">
        <f>CB271+CA272</f>
        <v>51060.5714285714</v>
      </c>
      <c r="CC272" s="291"/>
      <c r="CD272" s="291"/>
      <c r="CE272" s="291"/>
      <c r="CF272" s="291">
        <f t="shared" si="151"/>
        <v>8939.4285714286</v>
      </c>
      <c r="XFD272" s="909"/>
    </row>
    <row r="273" s="805" customFormat="1" ht="32" hidden="1" customHeight="1" spans="1:85">
      <c r="A273" s="909">
        <v>46010</v>
      </c>
      <c r="B273" s="910" t="s">
        <v>2094</v>
      </c>
      <c r="C273" s="911" t="s">
        <v>84</v>
      </c>
      <c r="D273" s="912">
        <v>4500189455</v>
      </c>
      <c r="E273" s="910"/>
      <c r="F273" s="912" t="s">
        <v>2095</v>
      </c>
      <c r="G273" s="285" t="s">
        <v>2096</v>
      </c>
      <c r="H273" s="285"/>
      <c r="I273" s="1001">
        <v>4500</v>
      </c>
      <c r="J273" s="285">
        <v>0</v>
      </c>
      <c r="K273" s="285">
        <v>25</v>
      </c>
      <c r="L273" s="931">
        <f t="shared" si="142"/>
        <v>180</v>
      </c>
      <c r="M273" s="932">
        <v>46052</v>
      </c>
      <c r="N273" s="932">
        <v>46048</v>
      </c>
      <c r="O273" s="933"/>
      <c r="P273" s="934"/>
      <c r="Q273" s="285"/>
      <c r="R273" s="945">
        <v>46028</v>
      </c>
      <c r="S273" s="945" t="s">
        <v>58</v>
      </c>
      <c r="T273" s="945" t="s">
        <v>58</v>
      </c>
      <c r="U273" s="1021" t="s">
        <v>2097</v>
      </c>
      <c r="V273" s="932" t="s">
        <v>1801</v>
      </c>
      <c r="W273" s="946">
        <v>110.056</v>
      </c>
      <c r="X273" s="947">
        <f>L273*W273</f>
        <v>19810.08</v>
      </c>
      <c r="Y273" s="285"/>
      <c r="Z273" s="285" t="s">
        <v>2096</v>
      </c>
      <c r="AA273" s="285" t="s">
        <v>53</v>
      </c>
      <c r="AB273" s="1035" t="s">
        <v>2093</v>
      </c>
      <c r="AC273" s="285"/>
      <c r="AD273" s="285">
        <v>4500</v>
      </c>
      <c r="AE273" s="895">
        <f t="shared" si="136"/>
        <v>0</v>
      </c>
      <c r="AF273" s="962"/>
      <c r="AG273" s="285" t="s">
        <v>58</v>
      </c>
      <c r="AH273" s="285"/>
      <c r="AI273" s="285">
        <f>I273</f>
        <v>4500</v>
      </c>
      <c r="AJ273" s="285"/>
      <c r="AK273" s="968">
        <f>I273*2</f>
        <v>9000</v>
      </c>
      <c r="AN273" s="285"/>
      <c r="AO273" s="285"/>
      <c r="AP273" s="807"/>
      <c r="AQ273" s="285">
        <f>I273</f>
        <v>4500</v>
      </c>
      <c r="AR273" s="285"/>
      <c r="AS273" s="285"/>
      <c r="AT273" s="285"/>
      <c r="BC273" s="968">
        <f>I273/25</f>
        <v>180</v>
      </c>
      <c r="BS273" s="291">
        <f t="shared" si="152"/>
        <v>4500</v>
      </c>
      <c r="BT273" s="291">
        <f>BT272+BS273</f>
        <v>2668208</v>
      </c>
      <c r="BU273" s="291"/>
      <c r="BV273" s="291"/>
      <c r="BW273" s="291"/>
      <c r="BX273" s="291"/>
      <c r="BY273" s="805">
        <f t="shared" si="150"/>
        <v>151792</v>
      </c>
      <c r="CA273" s="805">
        <f t="shared" si="154"/>
        <v>180</v>
      </c>
      <c r="CB273" s="291">
        <f>CB272+CA273</f>
        <v>51240.5714285714</v>
      </c>
      <c r="CC273" s="291"/>
      <c r="CD273" s="291"/>
      <c r="CE273" s="291"/>
      <c r="CF273" s="291">
        <f t="shared" si="151"/>
        <v>8759.4285714286</v>
      </c>
      <c r="CG273" s="291"/>
    </row>
    <row r="274" s="805" customFormat="1" ht="32" hidden="1" customHeight="1" spans="1:85">
      <c r="A274" s="909">
        <v>45985</v>
      </c>
      <c r="B274" s="910" t="s">
        <v>1145</v>
      </c>
      <c r="C274" s="911" t="s">
        <v>84</v>
      </c>
      <c r="D274" s="912">
        <v>4500186609</v>
      </c>
      <c r="E274" s="910">
        <v>60261219</v>
      </c>
      <c r="F274" s="912" t="s">
        <v>2098</v>
      </c>
      <c r="G274" s="285" t="s">
        <v>1147</v>
      </c>
      <c r="H274" s="285" t="s">
        <v>1148</v>
      </c>
      <c r="I274" s="285">
        <v>2004</v>
      </c>
      <c r="J274" s="285">
        <v>0</v>
      </c>
      <c r="K274" s="285">
        <v>12</v>
      </c>
      <c r="L274" s="931">
        <f t="shared" si="142"/>
        <v>167</v>
      </c>
      <c r="M274" s="932">
        <v>46055</v>
      </c>
      <c r="N274" s="932">
        <v>46051</v>
      </c>
      <c r="O274" s="933"/>
      <c r="P274" s="934"/>
      <c r="Q274" s="285"/>
      <c r="R274" s="945">
        <v>45985</v>
      </c>
      <c r="S274" s="945" t="s">
        <v>58</v>
      </c>
      <c r="T274" s="945" t="s">
        <v>1324</v>
      </c>
      <c r="U274" s="946" t="s">
        <v>2099</v>
      </c>
      <c r="V274" s="932" t="s">
        <v>1788</v>
      </c>
      <c r="W274" s="946">
        <v>2.3946</v>
      </c>
      <c r="X274" s="947">
        <f t="shared" si="143"/>
        <v>4798.7784</v>
      </c>
      <c r="Y274" s="285"/>
      <c r="Z274" s="285" t="s">
        <v>1884</v>
      </c>
      <c r="AA274" s="285" t="s">
        <v>53</v>
      </c>
      <c r="AB274" s="961" t="s">
        <v>54</v>
      </c>
      <c r="AC274" s="285"/>
      <c r="AD274" s="285">
        <f>1992+12</f>
        <v>2004</v>
      </c>
      <c r="AE274" s="895">
        <f t="shared" si="136"/>
        <v>0</v>
      </c>
      <c r="AF274" s="962"/>
      <c r="AG274" s="285" t="s">
        <v>55</v>
      </c>
      <c r="AH274" s="285"/>
      <c r="AI274" s="285">
        <f t="shared" ref="AI274:AI288" si="156">I274*2</f>
        <v>4008</v>
      </c>
      <c r="AJ274" s="285"/>
      <c r="AK274" s="968">
        <f>I274*2</f>
        <v>4008</v>
      </c>
      <c r="AN274" s="285"/>
      <c r="AO274" s="285"/>
      <c r="AP274" s="806"/>
      <c r="AQ274" s="285">
        <f t="shared" ref="AQ274:AQ285" si="157">I274*2</f>
        <v>4008</v>
      </c>
      <c r="AR274" s="285"/>
      <c r="AS274" s="285"/>
      <c r="AT274" s="285"/>
      <c r="BC274" s="968"/>
      <c r="BL274" s="805">
        <f t="shared" ref="BL274:BL285" si="158">I274</f>
        <v>2004</v>
      </c>
      <c r="BN274" s="805">
        <f>I274</f>
        <v>2004</v>
      </c>
      <c r="BO274" s="805">
        <f t="shared" ref="BO274:BO285" si="159">I274</f>
        <v>2004</v>
      </c>
      <c r="BS274" s="291">
        <f t="shared" si="152"/>
        <v>4008</v>
      </c>
      <c r="BT274" s="291">
        <f>BT271+BS274</f>
        <v>2667116</v>
      </c>
      <c r="BU274" s="291"/>
      <c r="BV274" s="291"/>
      <c r="BW274" s="291"/>
      <c r="BX274" s="291"/>
      <c r="BY274" s="805">
        <f t="shared" si="150"/>
        <v>152884</v>
      </c>
      <c r="CA274" s="805">
        <f t="shared" si="154"/>
        <v>0</v>
      </c>
      <c r="CB274" s="291">
        <f>CB271+CA274</f>
        <v>51036.5714285714</v>
      </c>
      <c r="CC274" s="291"/>
      <c r="CD274" s="291"/>
      <c r="CE274" s="291"/>
      <c r="CF274" s="291">
        <f t="shared" si="151"/>
        <v>8963.4285714286</v>
      </c>
      <c r="CG274" s="291"/>
    </row>
    <row r="275" s="805" customFormat="1" ht="32" hidden="1" customHeight="1" spans="1:85">
      <c r="A275" s="909">
        <v>46016</v>
      </c>
      <c r="B275" s="910" t="s">
        <v>715</v>
      </c>
      <c r="C275" s="911" t="s">
        <v>716</v>
      </c>
      <c r="D275" s="912">
        <v>4500190061</v>
      </c>
      <c r="E275" s="910" t="s">
        <v>2100</v>
      </c>
      <c r="F275" s="912" t="s">
        <v>2101</v>
      </c>
      <c r="G275" s="285" t="s">
        <v>1147</v>
      </c>
      <c r="H275" s="285" t="s">
        <v>1148</v>
      </c>
      <c r="I275" s="285">
        <v>48</v>
      </c>
      <c r="J275" s="285">
        <v>0</v>
      </c>
      <c r="K275" s="285">
        <v>12</v>
      </c>
      <c r="L275" s="931">
        <f t="shared" si="142"/>
        <v>4</v>
      </c>
      <c r="M275" s="932">
        <v>46059</v>
      </c>
      <c r="N275" s="932">
        <v>46055</v>
      </c>
      <c r="O275" s="933"/>
      <c r="P275" s="934"/>
      <c r="Q275" s="285"/>
      <c r="R275" s="945">
        <v>46016</v>
      </c>
      <c r="S275" s="945" t="s">
        <v>48</v>
      </c>
      <c r="T275" s="945" t="s">
        <v>2102</v>
      </c>
      <c r="U275" s="946" t="s">
        <v>2103</v>
      </c>
      <c r="V275" s="932" t="s">
        <v>721</v>
      </c>
      <c r="W275" s="946">
        <v>4.0025</v>
      </c>
      <c r="X275" s="947">
        <f t="shared" si="143"/>
        <v>192.12</v>
      </c>
      <c r="Y275" s="285"/>
      <c r="Z275" s="285" t="s">
        <v>1709</v>
      </c>
      <c r="AA275" s="285" t="s">
        <v>53</v>
      </c>
      <c r="AB275" s="1035" t="s">
        <v>2093</v>
      </c>
      <c r="AC275" s="285"/>
      <c r="AD275" s="285">
        <v>48</v>
      </c>
      <c r="AE275" s="895">
        <f t="shared" si="136"/>
        <v>0</v>
      </c>
      <c r="AF275" s="962"/>
      <c r="AG275" s="285" t="s">
        <v>55</v>
      </c>
      <c r="AH275" s="285"/>
      <c r="AI275" s="285">
        <f t="shared" si="156"/>
        <v>96</v>
      </c>
      <c r="AJ275" s="285"/>
      <c r="AK275" s="968"/>
      <c r="AM275" s="805">
        <f t="shared" si="155"/>
        <v>96</v>
      </c>
      <c r="AN275" s="285"/>
      <c r="AO275" s="285"/>
      <c r="AP275" s="807"/>
      <c r="AQ275" s="285">
        <f t="shared" si="157"/>
        <v>96</v>
      </c>
      <c r="AR275" s="285"/>
      <c r="AS275" s="285"/>
      <c r="AT275" s="285"/>
      <c r="BC275" s="968"/>
      <c r="BL275" s="805">
        <f t="shared" si="158"/>
        <v>48</v>
      </c>
      <c r="BN275" s="805">
        <f>I275</f>
        <v>48</v>
      </c>
      <c r="BO275" s="805">
        <f t="shared" si="159"/>
        <v>48</v>
      </c>
      <c r="BS275" s="291">
        <f t="shared" si="152"/>
        <v>96</v>
      </c>
      <c r="BT275" s="291">
        <f>BT272+BS275</f>
        <v>2663804</v>
      </c>
      <c r="BU275" s="291"/>
      <c r="BV275" s="291"/>
      <c r="BW275" s="291"/>
      <c r="BX275" s="291"/>
      <c r="BY275" s="805">
        <f t="shared" si="150"/>
        <v>156196</v>
      </c>
      <c r="CA275" s="805">
        <f t="shared" si="154"/>
        <v>0</v>
      </c>
      <c r="CB275" s="291">
        <f>CB272+CA275</f>
        <v>51060.5714285714</v>
      </c>
      <c r="CC275" s="291"/>
      <c r="CD275" s="291"/>
      <c r="CE275" s="291"/>
      <c r="CF275" s="291">
        <f t="shared" si="151"/>
        <v>8939.4285714286</v>
      </c>
      <c r="CG275" s="291"/>
    </row>
    <row r="276" s="805" customFormat="1" ht="32" hidden="1" customHeight="1" spans="1:85">
      <c r="A276" s="909">
        <v>46016</v>
      </c>
      <c r="B276" s="910" t="s">
        <v>715</v>
      </c>
      <c r="C276" s="911" t="s">
        <v>716</v>
      </c>
      <c r="D276" s="912">
        <v>4500190061</v>
      </c>
      <c r="E276" s="910" t="s">
        <v>2104</v>
      </c>
      <c r="F276" s="912" t="s">
        <v>2105</v>
      </c>
      <c r="G276" s="285" t="s">
        <v>1147</v>
      </c>
      <c r="H276" s="285" t="s">
        <v>1148</v>
      </c>
      <c r="I276" s="285">
        <v>12</v>
      </c>
      <c r="J276" s="285">
        <v>0</v>
      </c>
      <c r="K276" s="285">
        <v>12</v>
      </c>
      <c r="L276" s="931">
        <f t="shared" si="142"/>
        <v>1</v>
      </c>
      <c r="M276" s="932">
        <v>46059</v>
      </c>
      <c r="N276" s="932">
        <v>46055</v>
      </c>
      <c r="O276" s="933"/>
      <c r="P276" s="934"/>
      <c r="Q276" s="285"/>
      <c r="R276" s="945">
        <v>46016</v>
      </c>
      <c r="S276" s="945" t="s">
        <v>48</v>
      </c>
      <c r="T276" s="945" t="s">
        <v>2102</v>
      </c>
      <c r="U276" s="946" t="s">
        <v>2103</v>
      </c>
      <c r="V276" s="932" t="s">
        <v>721</v>
      </c>
      <c r="W276" s="946">
        <v>4.0025</v>
      </c>
      <c r="X276" s="947">
        <f t="shared" si="143"/>
        <v>48.03</v>
      </c>
      <c r="Y276" s="285"/>
      <c r="Z276" s="285" t="s">
        <v>1709</v>
      </c>
      <c r="AA276" s="285" t="s">
        <v>53</v>
      </c>
      <c r="AB276" s="1035" t="s">
        <v>2093</v>
      </c>
      <c r="AC276" s="285"/>
      <c r="AD276" s="285">
        <v>12</v>
      </c>
      <c r="AE276" s="895">
        <f t="shared" si="136"/>
        <v>0</v>
      </c>
      <c r="AF276" s="962"/>
      <c r="AG276" s="285" t="s">
        <v>55</v>
      </c>
      <c r="AH276" s="285"/>
      <c r="AI276" s="285">
        <f t="shared" si="156"/>
        <v>24</v>
      </c>
      <c r="AJ276" s="285"/>
      <c r="AK276" s="968"/>
      <c r="AM276" s="805">
        <f t="shared" si="155"/>
        <v>24</v>
      </c>
      <c r="AN276" s="285"/>
      <c r="AO276" s="285"/>
      <c r="AP276" s="807"/>
      <c r="AQ276" s="285">
        <f t="shared" si="157"/>
        <v>24</v>
      </c>
      <c r="AR276" s="285"/>
      <c r="AS276" s="285"/>
      <c r="AT276" s="285"/>
      <c r="BC276" s="968"/>
      <c r="BL276" s="805">
        <f t="shared" si="158"/>
        <v>12</v>
      </c>
      <c r="BN276" s="805">
        <f>I276</f>
        <v>12</v>
      </c>
      <c r="BO276" s="805">
        <f t="shared" si="159"/>
        <v>12</v>
      </c>
      <c r="BS276" s="291">
        <f t="shared" si="152"/>
        <v>24</v>
      </c>
      <c r="BT276" s="291">
        <f>BT273+BS276</f>
        <v>2668232</v>
      </c>
      <c r="BU276" s="291"/>
      <c r="BV276" s="291"/>
      <c r="BW276" s="291"/>
      <c r="BX276" s="291"/>
      <c r="BY276" s="805">
        <f t="shared" si="150"/>
        <v>151768</v>
      </c>
      <c r="CA276" s="805">
        <f t="shared" si="154"/>
        <v>0</v>
      </c>
      <c r="CB276" s="291">
        <f>CB273+CA276</f>
        <v>51240.5714285714</v>
      </c>
      <c r="CC276" s="291"/>
      <c r="CD276" s="291"/>
      <c r="CE276" s="291"/>
      <c r="CF276" s="291">
        <f t="shared" si="151"/>
        <v>8759.4285714286</v>
      </c>
      <c r="CG276" s="291"/>
    </row>
    <row r="277" s="805" customFormat="1" ht="32" hidden="1" customHeight="1" spans="1:85">
      <c r="A277" s="909">
        <v>46016</v>
      </c>
      <c r="B277" s="910" t="s">
        <v>715</v>
      </c>
      <c r="C277" s="911" t="s">
        <v>716</v>
      </c>
      <c r="D277" s="912">
        <v>4500190061</v>
      </c>
      <c r="E277" s="910" t="s">
        <v>2106</v>
      </c>
      <c r="F277" s="912" t="s">
        <v>2107</v>
      </c>
      <c r="G277" s="285" t="s">
        <v>1147</v>
      </c>
      <c r="H277" s="285" t="s">
        <v>1148</v>
      </c>
      <c r="I277" s="285">
        <v>12</v>
      </c>
      <c r="J277" s="285">
        <v>0</v>
      </c>
      <c r="K277" s="285">
        <v>12</v>
      </c>
      <c r="L277" s="931">
        <f t="shared" si="142"/>
        <v>1</v>
      </c>
      <c r="M277" s="932">
        <v>46059</v>
      </c>
      <c r="N277" s="932">
        <v>46055</v>
      </c>
      <c r="O277" s="933"/>
      <c r="P277" s="934"/>
      <c r="Q277" s="285"/>
      <c r="R277" s="945">
        <v>46016</v>
      </c>
      <c r="S277" s="945" t="s">
        <v>48</v>
      </c>
      <c r="T277" s="945" t="s">
        <v>2102</v>
      </c>
      <c r="U277" s="946" t="s">
        <v>2103</v>
      </c>
      <c r="V277" s="932" t="s">
        <v>721</v>
      </c>
      <c r="W277" s="946">
        <v>4.0025</v>
      </c>
      <c r="X277" s="947">
        <f t="shared" si="143"/>
        <v>48.03</v>
      </c>
      <c r="Y277" s="285"/>
      <c r="Z277" s="285" t="s">
        <v>1709</v>
      </c>
      <c r="AA277" s="285" t="s">
        <v>53</v>
      </c>
      <c r="AB277" s="1035" t="s">
        <v>2093</v>
      </c>
      <c r="AC277" s="285"/>
      <c r="AD277" s="285">
        <v>12</v>
      </c>
      <c r="AE277" s="895">
        <f t="shared" si="136"/>
        <v>0</v>
      </c>
      <c r="AF277" s="962"/>
      <c r="AG277" s="285" t="s">
        <v>55</v>
      </c>
      <c r="AH277" s="285"/>
      <c r="AI277" s="285">
        <f t="shared" si="156"/>
        <v>24</v>
      </c>
      <c r="AJ277" s="285"/>
      <c r="AK277" s="968"/>
      <c r="AM277" s="805">
        <f t="shared" si="155"/>
        <v>24</v>
      </c>
      <c r="AN277" s="285"/>
      <c r="AO277" s="285"/>
      <c r="AP277" s="807"/>
      <c r="AQ277" s="285">
        <f t="shared" si="157"/>
        <v>24</v>
      </c>
      <c r="AR277" s="285"/>
      <c r="AS277" s="285"/>
      <c r="AT277" s="285"/>
      <c r="BC277" s="968"/>
      <c r="BL277" s="805">
        <f t="shared" si="158"/>
        <v>12</v>
      </c>
      <c r="BN277" s="805">
        <f>I277</f>
        <v>12</v>
      </c>
      <c r="BO277" s="805">
        <f t="shared" si="159"/>
        <v>12</v>
      </c>
      <c r="BS277" s="291">
        <f t="shared" si="152"/>
        <v>24</v>
      </c>
      <c r="BT277" s="291">
        <f>BT274+BS277</f>
        <v>2667140</v>
      </c>
      <c r="BU277" s="291"/>
      <c r="BV277" s="291"/>
      <c r="BW277" s="291"/>
      <c r="BX277" s="291"/>
      <c r="BY277" s="805">
        <f t="shared" si="150"/>
        <v>152860</v>
      </c>
      <c r="CA277" s="805">
        <f t="shared" si="154"/>
        <v>0</v>
      </c>
      <c r="CB277" s="291">
        <f>CB274+CA277</f>
        <v>51036.5714285714</v>
      </c>
      <c r="CC277" s="291"/>
      <c r="CD277" s="291"/>
      <c r="CE277" s="291"/>
      <c r="CF277" s="291">
        <f t="shared" si="151"/>
        <v>8963.4285714286</v>
      </c>
      <c r="CG277" s="291"/>
    </row>
    <row r="278" s="805" customFormat="1" ht="32" hidden="1" customHeight="1" spans="1:85">
      <c r="A278" s="909">
        <v>46016</v>
      </c>
      <c r="B278" s="910" t="s">
        <v>715</v>
      </c>
      <c r="C278" s="911" t="s">
        <v>716</v>
      </c>
      <c r="D278" s="912">
        <v>4500190061</v>
      </c>
      <c r="E278" s="910" t="s">
        <v>2108</v>
      </c>
      <c r="F278" s="912" t="s">
        <v>2109</v>
      </c>
      <c r="G278" s="285" t="s">
        <v>1147</v>
      </c>
      <c r="H278" s="285" t="s">
        <v>1148</v>
      </c>
      <c r="I278" s="285">
        <v>12</v>
      </c>
      <c r="J278" s="285">
        <v>0</v>
      </c>
      <c r="K278" s="285">
        <v>12</v>
      </c>
      <c r="L278" s="931">
        <f t="shared" si="142"/>
        <v>1</v>
      </c>
      <c r="M278" s="932">
        <v>46059</v>
      </c>
      <c r="N278" s="932">
        <v>46055</v>
      </c>
      <c r="O278" s="933"/>
      <c r="P278" s="934"/>
      <c r="Q278" s="285"/>
      <c r="R278" s="945">
        <v>46016</v>
      </c>
      <c r="S278" s="945" t="s">
        <v>48</v>
      </c>
      <c r="T278" s="945" t="s">
        <v>2102</v>
      </c>
      <c r="U278" s="946" t="s">
        <v>2103</v>
      </c>
      <c r="V278" s="932" t="s">
        <v>721</v>
      </c>
      <c r="W278" s="946">
        <v>4.0025</v>
      </c>
      <c r="X278" s="947">
        <f t="shared" si="143"/>
        <v>48.03</v>
      </c>
      <c r="Y278" s="285"/>
      <c r="Z278" s="285" t="s">
        <v>1709</v>
      </c>
      <c r="AA278" s="285" t="s">
        <v>53</v>
      </c>
      <c r="AB278" s="1035" t="s">
        <v>2093</v>
      </c>
      <c r="AC278" s="285"/>
      <c r="AD278" s="285">
        <v>12</v>
      </c>
      <c r="AE278" s="895">
        <f t="shared" si="136"/>
        <v>0</v>
      </c>
      <c r="AF278" s="962"/>
      <c r="AG278" s="285" t="s">
        <v>55</v>
      </c>
      <c r="AH278" s="285"/>
      <c r="AI278" s="285">
        <f t="shared" si="156"/>
        <v>24</v>
      </c>
      <c r="AJ278" s="285"/>
      <c r="AK278" s="968"/>
      <c r="AM278" s="805">
        <f t="shared" si="155"/>
        <v>24</v>
      </c>
      <c r="AN278" s="285"/>
      <c r="AO278" s="285"/>
      <c r="AP278" s="807"/>
      <c r="AQ278" s="285">
        <f t="shared" si="157"/>
        <v>24</v>
      </c>
      <c r="AR278" s="285"/>
      <c r="AS278" s="285"/>
      <c r="AT278" s="285"/>
      <c r="BC278" s="968"/>
      <c r="BL278" s="805">
        <f t="shared" si="158"/>
        <v>12</v>
      </c>
      <c r="BN278" s="805">
        <f>I278</f>
        <v>12</v>
      </c>
      <c r="BO278" s="805">
        <f t="shared" si="159"/>
        <v>12</v>
      </c>
      <c r="BS278" s="291">
        <f t="shared" si="152"/>
        <v>24</v>
      </c>
      <c r="BT278" s="291">
        <f>BT275+BS278</f>
        <v>2663828</v>
      </c>
      <c r="BU278" s="291"/>
      <c r="BV278" s="291"/>
      <c r="BW278" s="291"/>
      <c r="BX278" s="291"/>
      <c r="BY278" s="805">
        <f t="shared" si="150"/>
        <v>156172</v>
      </c>
      <c r="CA278" s="805">
        <f t="shared" si="154"/>
        <v>0</v>
      </c>
      <c r="CB278" s="291">
        <f>CB275+CA278</f>
        <v>51060.5714285714</v>
      </c>
      <c r="CC278" s="291"/>
      <c r="CD278" s="291"/>
      <c r="CE278" s="291"/>
      <c r="CF278" s="291">
        <f t="shared" si="151"/>
        <v>8939.4285714286</v>
      </c>
      <c r="CG278" s="291"/>
    </row>
    <row r="279" s="805" customFormat="1" ht="32" hidden="1" customHeight="1" spans="1:85">
      <c r="A279" s="909">
        <v>45971</v>
      </c>
      <c r="B279" s="910" t="s">
        <v>372</v>
      </c>
      <c r="C279" s="911" t="s">
        <v>84</v>
      </c>
      <c r="D279" s="912">
        <v>4500184802</v>
      </c>
      <c r="E279" s="910" t="s">
        <v>2110</v>
      </c>
      <c r="F279" s="912" t="s">
        <v>2111</v>
      </c>
      <c r="G279" s="285" t="s">
        <v>1147</v>
      </c>
      <c r="H279" s="285" t="s">
        <v>1148</v>
      </c>
      <c r="I279" s="285">
        <v>612</v>
      </c>
      <c r="J279" s="285">
        <v>0</v>
      </c>
      <c r="K279" s="285">
        <v>12</v>
      </c>
      <c r="L279" s="931">
        <f t="shared" si="142"/>
        <v>51</v>
      </c>
      <c r="M279" s="932">
        <v>46077</v>
      </c>
      <c r="N279" s="932">
        <v>46073</v>
      </c>
      <c r="O279" s="933"/>
      <c r="P279" s="934"/>
      <c r="Q279" s="285"/>
      <c r="R279" s="945">
        <v>45971</v>
      </c>
      <c r="S279" s="945" t="s">
        <v>48</v>
      </c>
      <c r="T279" s="945" t="s">
        <v>2072</v>
      </c>
      <c r="U279" s="946" t="s">
        <v>2076</v>
      </c>
      <c r="V279" s="932" t="s">
        <v>89</v>
      </c>
      <c r="W279" s="946">
        <v>2.4244</v>
      </c>
      <c r="X279" s="947">
        <f t="shared" si="143"/>
        <v>1483.7328</v>
      </c>
      <c r="Y279" s="285"/>
      <c r="Z279" s="285" t="s">
        <v>1884</v>
      </c>
      <c r="AA279" s="285" t="s">
        <v>53</v>
      </c>
      <c r="AB279" s="961" t="s">
        <v>54</v>
      </c>
      <c r="AC279" s="285"/>
      <c r="AD279" s="285">
        <v>612</v>
      </c>
      <c r="AE279" s="895">
        <f t="shared" si="136"/>
        <v>0</v>
      </c>
      <c r="AF279" s="962"/>
      <c r="AG279" s="285" t="s">
        <v>55</v>
      </c>
      <c r="AH279" s="285"/>
      <c r="AI279" s="285">
        <f t="shared" si="156"/>
        <v>1224</v>
      </c>
      <c r="AJ279" s="285"/>
      <c r="AK279" s="968">
        <f t="shared" ref="AK279:AK285" si="160">I279*2</f>
        <v>1224</v>
      </c>
      <c r="AN279" s="285"/>
      <c r="AO279" s="285"/>
      <c r="AP279" s="806"/>
      <c r="AQ279" s="285">
        <f t="shared" si="157"/>
        <v>1224</v>
      </c>
      <c r="AR279" s="285"/>
      <c r="AS279" s="285"/>
      <c r="AT279" s="285"/>
      <c r="BC279" s="968"/>
      <c r="BL279" s="805">
        <f t="shared" si="158"/>
        <v>612</v>
      </c>
      <c r="BM279" s="805">
        <f t="shared" ref="BM279:BM284" si="161">I279</f>
        <v>612</v>
      </c>
      <c r="BO279" s="805">
        <f t="shared" si="159"/>
        <v>612</v>
      </c>
      <c r="BS279" s="291">
        <f t="shared" si="152"/>
        <v>1224</v>
      </c>
      <c r="BT279" s="291">
        <f>BT274+BS279</f>
        <v>2668340</v>
      </c>
      <c r="BU279" s="291"/>
      <c r="BV279" s="291"/>
      <c r="BW279" s="291"/>
      <c r="BX279" s="291"/>
      <c r="BY279" s="805">
        <f t="shared" si="150"/>
        <v>151660</v>
      </c>
      <c r="CA279" s="805">
        <f t="shared" si="154"/>
        <v>0</v>
      </c>
      <c r="CB279" s="291">
        <f>CB274+CA279</f>
        <v>51036.5714285714</v>
      </c>
      <c r="CC279" s="291"/>
      <c r="CD279" s="291"/>
      <c r="CE279" s="291"/>
      <c r="CF279" s="291">
        <f t="shared" si="151"/>
        <v>8963.4285714286</v>
      </c>
      <c r="CG279" s="291"/>
    </row>
    <row r="280" s="805" customFormat="1" ht="32" hidden="1" customHeight="1" spans="1:85">
      <c r="A280" s="909">
        <v>45971</v>
      </c>
      <c r="B280" s="910" t="s">
        <v>372</v>
      </c>
      <c r="C280" s="911" t="s">
        <v>84</v>
      </c>
      <c r="D280" s="912">
        <v>4500184897</v>
      </c>
      <c r="E280" s="910" t="s">
        <v>2112</v>
      </c>
      <c r="F280" s="912" t="s">
        <v>2113</v>
      </c>
      <c r="G280" s="285" t="s">
        <v>1147</v>
      </c>
      <c r="H280" s="285" t="s">
        <v>1148</v>
      </c>
      <c r="I280" s="285">
        <v>228</v>
      </c>
      <c r="J280" s="285">
        <v>0</v>
      </c>
      <c r="K280" s="285">
        <v>12</v>
      </c>
      <c r="L280" s="931">
        <f t="shared" si="142"/>
        <v>19</v>
      </c>
      <c r="M280" s="932">
        <v>46087</v>
      </c>
      <c r="N280" s="932">
        <v>46083</v>
      </c>
      <c r="O280" s="933"/>
      <c r="P280" s="934"/>
      <c r="Q280" s="285"/>
      <c r="R280" s="945">
        <v>45971</v>
      </c>
      <c r="S280" s="945" t="s">
        <v>48</v>
      </c>
      <c r="T280" s="945" t="s">
        <v>2072</v>
      </c>
      <c r="U280" s="946" t="s">
        <v>2076</v>
      </c>
      <c r="V280" s="932" t="s">
        <v>89</v>
      </c>
      <c r="W280" s="946">
        <v>2.4244</v>
      </c>
      <c r="X280" s="947">
        <f t="shared" si="143"/>
        <v>552.7632</v>
      </c>
      <c r="Y280" s="285"/>
      <c r="Z280" s="285" t="s">
        <v>1884</v>
      </c>
      <c r="AA280" s="285" t="s">
        <v>53</v>
      </c>
      <c r="AB280" s="961" t="s">
        <v>54</v>
      </c>
      <c r="AC280" s="285"/>
      <c r="AD280" s="285">
        <v>228</v>
      </c>
      <c r="AE280" s="895">
        <f t="shared" si="136"/>
        <v>0</v>
      </c>
      <c r="AF280" s="962"/>
      <c r="AG280" s="285" t="s">
        <v>55</v>
      </c>
      <c r="AH280" s="285"/>
      <c r="AI280" s="285">
        <f t="shared" si="156"/>
        <v>456</v>
      </c>
      <c r="AJ280" s="285"/>
      <c r="AK280" s="968">
        <f t="shared" si="160"/>
        <v>456</v>
      </c>
      <c r="AN280" s="285"/>
      <c r="AO280" s="285"/>
      <c r="AP280" s="806"/>
      <c r="AQ280" s="285">
        <f t="shared" si="157"/>
        <v>456</v>
      </c>
      <c r="AR280" s="285"/>
      <c r="AS280" s="285"/>
      <c r="AT280" s="285"/>
      <c r="BC280" s="968"/>
      <c r="BL280" s="805">
        <f t="shared" si="158"/>
        <v>228</v>
      </c>
      <c r="BM280" s="805">
        <f t="shared" si="161"/>
        <v>228</v>
      </c>
      <c r="BO280" s="805">
        <f t="shared" si="159"/>
        <v>228</v>
      </c>
      <c r="BS280" s="291">
        <f t="shared" si="152"/>
        <v>456</v>
      </c>
      <c r="BT280" s="291">
        <f>BT279+BS280</f>
        <v>2668796</v>
      </c>
      <c r="BU280" s="291"/>
      <c r="BV280" s="291"/>
      <c r="BW280" s="291"/>
      <c r="BX280" s="291"/>
      <c r="BY280" s="805">
        <f t="shared" si="150"/>
        <v>151204</v>
      </c>
      <c r="CA280" s="805">
        <f t="shared" si="154"/>
        <v>0</v>
      </c>
      <c r="CB280" s="291">
        <f>CB279+CA280</f>
        <v>51036.5714285714</v>
      </c>
      <c r="CC280" s="291"/>
      <c r="CD280" s="291"/>
      <c r="CE280" s="291"/>
      <c r="CF280" s="291">
        <f t="shared" si="151"/>
        <v>8963.4285714286</v>
      </c>
      <c r="CG280" s="291"/>
    </row>
    <row r="281" s="805" customFormat="1" ht="32" hidden="1" customHeight="1" spans="1:85">
      <c r="A281" s="909">
        <v>45971</v>
      </c>
      <c r="B281" s="910" t="s">
        <v>372</v>
      </c>
      <c r="C281" s="911" t="s">
        <v>84</v>
      </c>
      <c r="D281" s="912">
        <v>4500184897</v>
      </c>
      <c r="E281" s="910" t="s">
        <v>2114</v>
      </c>
      <c r="F281" s="912" t="s">
        <v>2115</v>
      </c>
      <c r="G281" s="285" t="s">
        <v>1147</v>
      </c>
      <c r="H281" s="285" t="s">
        <v>1148</v>
      </c>
      <c r="I281" s="285">
        <v>36</v>
      </c>
      <c r="J281" s="285">
        <v>0</v>
      </c>
      <c r="K281" s="285">
        <v>12</v>
      </c>
      <c r="L281" s="931">
        <f t="shared" si="142"/>
        <v>3</v>
      </c>
      <c r="M281" s="932">
        <v>46087</v>
      </c>
      <c r="N281" s="932">
        <v>46083</v>
      </c>
      <c r="O281" s="933"/>
      <c r="P281" s="934"/>
      <c r="Q281" s="285"/>
      <c r="R281" s="945">
        <v>45971</v>
      </c>
      <c r="S281" s="945" t="s">
        <v>48</v>
      </c>
      <c r="T281" s="945" t="s">
        <v>2072</v>
      </c>
      <c r="U281" s="946" t="s">
        <v>2076</v>
      </c>
      <c r="V281" s="932" t="s">
        <v>89</v>
      </c>
      <c r="W281" s="946">
        <v>2.4244</v>
      </c>
      <c r="X281" s="947">
        <f t="shared" si="143"/>
        <v>87.2784</v>
      </c>
      <c r="Y281" s="285"/>
      <c r="Z281" s="285" t="s">
        <v>1884</v>
      </c>
      <c r="AA281" s="285" t="s">
        <v>53</v>
      </c>
      <c r="AB281" s="961" t="s">
        <v>54</v>
      </c>
      <c r="AC281" s="285"/>
      <c r="AD281" s="285">
        <v>36</v>
      </c>
      <c r="AE281" s="895">
        <f t="shared" si="136"/>
        <v>0</v>
      </c>
      <c r="AF281" s="962"/>
      <c r="AG281" s="285" t="s">
        <v>55</v>
      </c>
      <c r="AH281" s="285"/>
      <c r="AI281" s="285">
        <f t="shared" si="156"/>
        <v>72</v>
      </c>
      <c r="AJ281" s="285"/>
      <c r="AK281" s="968">
        <f t="shared" si="160"/>
        <v>72</v>
      </c>
      <c r="AN281" s="285"/>
      <c r="AO281" s="285"/>
      <c r="AP281" s="806"/>
      <c r="AQ281" s="285">
        <f t="shared" si="157"/>
        <v>72</v>
      </c>
      <c r="AR281" s="285"/>
      <c r="AS281" s="285"/>
      <c r="AT281" s="285"/>
      <c r="BC281" s="968"/>
      <c r="BL281" s="805">
        <f t="shared" si="158"/>
        <v>36</v>
      </c>
      <c r="BM281" s="805">
        <f t="shared" si="161"/>
        <v>36</v>
      </c>
      <c r="BO281" s="805">
        <f t="shared" si="159"/>
        <v>36</v>
      </c>
      <c r="BS281" s="291">
        <f t="shared" si="152"/>
        <v>72</v>
      </c>
      <c r="BT281" s="291">
        <f>BT280+BS281</f>
        <v>2668868</v>
      </c>
      <c r="BU281" s="291"/>
      <c r="BV281" s="291"/>
      <c r="BW281" s="291"/>
      <c r="BX281" s="291"/>
      <c r="BY281" s="805">
        <f t="shared" si="150"/>
        <v>151132</v>
      </c>
      <c r="CA281" s="805">
        <f t="shared" si="154"/>
        <v>0</v>
      </c>
      <c r="CB281" s="291">
        <f>CB280+CA281</f>
        <v>51036.5714285714</v>
      </c>
      <c r="CC281" s="291"/>
      <c r="CD281" s="291"/>
      <c r="CE281" s="291"/>
      <c r="CF281" s="291">
        <f t="shared" si="151"/>
        <v>8963.4285714286</v>
      </c>
      <c r="CG281" s="291"/>
    </row>
    <row r="282" s="805" customFormat="1" ht="32" hidden="1" customHeight="1" spans="1:85">
      <c r="A282" s="909">
        <v>45971</v>
      </c>
      <c r="B282" s="910" t="s">
        <v>372</v>
      </c>
      <c r="C282" s="911" t="s">
        <v>84</v>
      </c>
      <c r="D282" s="912">
        <v>4500184902</v>
      </c>
      <c r="E282" s="910" t="s">
        <v>2116</v>
      </c>
      <c r="F282" s="912" t="s">
        <v>2117</v>
      </c>
      <c r="G282" s="285" t="s">
        <v>1147</v>
      </c>
      <c r="H282" s="285" t="s">
        <v>1148</v>
      </c>
      <c r="I282" s="285">
        <v>252</v>
      </c>
      <c r="J282" s="285">
        <v>0</v>
      </c>
      <c r="K282" s="285">
        <v>12</v>
      </c>
      <c r="L282" s="931">
        <f t="shared" si="142"/>
        <v>21</v>
      </c>
      <c r="M282" s="932">
        <v>46087</v>
      </c>
      <c r="N282" s="932">
        <v>46083</v>
      </c>
      <c r="O282" s="933"/>
      <c r="P282" s="934"/>
      <c r="Q282" s="285"/>
      <c r="R282" s="945">
        <v>45971</v>
      </c>
      <c r="S282" s="945" t="s">
        <v>48</v>
      </c>
      <c r="T282" s="945" t="s">
        <v>2072</v>
      </c>
      <c r="U282" s="946" t="s">
        <v>2118</v>
      </c>
      <c r="V282" s="932" t="s">
        <v>89</v>
      </c>
      <c r="W282" s="946">
        <v>2.4244</v>
      </c>
      <c r="X282" s="947">
        <f t="shared" si="143"/>
        <v>610.9488</v>
      </c>
      <c r="Y282" s="285"/>
      <c r="Z282" s="285" t="s">
        <v>1884</v>
      </c>
      <c r="AA282" s="285" t="s">
        <v>53</v>
      </c>
      <c r="AB282" s="961" t="s">
        <v>54</v>
      </c>
      <c r="AC282" s="285"/>
      <c r="AD282" s="285">
        <v>252</v>
      </c>
      <c r="AE282" s="895">
        <f t="shared" si="136"/>
        <v>0</v>
      </c>
      <c r="AF282" s="962"/>
      <c r="AG282" s="285" t="s">
        <v>55</v>
      </c>
      <c r="AH282" s="285"/>
      <c r="AI282" s="285">
        <f t="shared" si="156"/>
        <v>504</v>
      </c>
      <c r="AJ282" s="285"/>
      <c r="AK282" s="968">
        <f t="shared" si="160"/>
        <v>504</v>
      </c>
      <c r="AN282" s="285"/>
      <c r="AO282" s="285"/>
      <c r="AP282" s="806"/>
      <c r="AQ282" s="285">
        <f t="shared" si="157"/>
        <v>504</v>
      </c>
      <c r="AR282" s="285"/>
      <c r="AS282" s="285"/>
      <c r="AT282" s="285"/>
      <c r="BC282" s="968"/>
      <c r="BL282" s="805">
        <f t="shared" si="158"/>
        <v>252</v>
      </c>
      <c r="BM282" s="805">
        <f t="shared" si="161"/>
        <v>252</v>
      </c>
      <c r="BO282" s="805">
        <f t="shared" si="159"/>
        <v>252</v>
      </c>
      <c r="BS282" s="291">
        <f t="shared" si="152"/>
        <v>504</v>
      </c>
      <c r="BT282" s="291">
        <f>BT281+BS282</f>
        <v>2669372</v>
      </c>
      <c r="BU282" s="291"/>
      <c r="BV282" s="291"/>
      <c r="BW282" s="291"/>
      <c r="BX282" s="291"/>
      <c r="BY282" s="805">
        <f t="shared" si="150"/>
        <v>150628</v>
      </c>
      <c r="CA282" s="805">
        <f t="shared" si="154"/>
        <v>0</v>
      </c>
      <c r="CB282" s="291">
        <f>CB281+CA282</f>
        <v>51036.5714285714</v>
      </c>
      <c r="CC282" s="291"/>
      <c r="CD282" s="291"/>
      <c r="CE282" s="291"/>
      <c r="CF282" s="291">
        <f t="shared" si="151"/>
        <v>8963.4285714286</v>
      </c>
      <c r="CG282" s="291"/>
    </row>
    <row r="283" s="805" customFormat="1" ht="32" hidden="1" customHeight="1" spans="1:85">
      <c r="A283" s="909">
        <v>45971</v>
      </c>
      <c r="B283" s="910" t="s">
        <v>372</v>
      </c>
      <c r="C283" s="911" t="s">
        <v>84</v>
      </c>
      <c r="D283" s="912">
        <v>4500184901</v>
      </c>
      <c r="E283" s="910" t="s">
        <v>2119</v>
      </c>
      <c r="F283" s="912" t="s">
        <v>2120</v>
      </c>
      <c r="G283" s="285" t="s">
        <v>1147</v>
      </c>
      <c r="H283" s="285" t="s">
        <v>1148</v>
      </c>
      <c r="I283" s="285">
        <v>84</v>
      </c>
      <c r="J283" s="285">
        <v>0</v>
      </c>
      <c r="K283" s="285">
        <v>12</v>
      </c>
      <c r="L283" s="931">
        <f t="shared" si="142"/>
        <v>7</v>
      </c>
      <c r="M283" s="932">
        <v>46087</v>
      </c>
      <c r="N283" s="932">
        <v>46083</v>
      </c>
      <c r="O283" s="933"/>
      <c r="P283" s="934"/>
      <c r="Q283" s="285"/>
      <c r="R283" s="945">
        <v>45971</v>
      </c>
      <c r="S283" s="945" t="s">
        <v>48</v>
      </c>
      <c r="T283" s="945" t="s">
        <v>2072</v>
      </c>
      <c r="U283" s="946" t="s">
        <v>2118</v>
      </c>
      <c r="V283" s="932" t="s">
        <v>89</v>
      </c>
      <c r="W283" s="946">
        <v>2.4244</v>
      </c>
      <c r="X283" s="947">
        <f t="shared" si="143"/>
        <v>203.6496</v>
      </c>
      <c r="Y283" s="285"/>
      <c r="Z283" s="285" t="s">
        <v>1884</v>
      </c>
      <c r="AA283" s="285" t="s">
        <v>53</v>
      </c>
      <c r="AB283" s="961" t="s">
        <v>54</v>
      </c>
      <c r="AC283" s="285"/>
      <c r="AD283" s="285">
        <v>84</v>
      </c>
      <c r="AE283" s="895">
        <f t="shared" si="136"/>
        <v>0</v>
      </c>
      <c r="AF283" s="962"/>
      <c r="AG283" s="285" t="s">
        <v>55</v>
      </c>
      <c r="AH283" s="285"/>
      <c r="AI283" s="285">
        <f t="shared" si="156"/>
        <v>168</v>
      </c>
      <c r="AJ283" s="285"/>
      <c r="AK283" s="968">
        <f t="shared" si="160"/>
        <v>168</v>
      </c>
      <c r="AN283" s="285"/>
      <c r="AO283" s="285"/>
      <c r="AP283" s="806"/>
      <c r="AQ283" s="285">
        <f t="shared" si="157"/>
        <v>168</v>
      </c>
      <c r="AR283" s="285"/>
      <c r="AS283" s="285"/>
      <c r="AT283" s="285"/>
      <c r="BC283" s="968"/>
      <c r="BL283" s="805">
        <f t="shared" si="158"/>
        <v>84</v>
      </c>
      <c r="BM283" s="805">
        <f t="shared" si="161"/>
        <v>84</v>
      </c>
      <c r="BO283" s="805">
        <f t="shared" si="159"/>
        <v>84</v>
      </c>
      <c r="BS283" s="291">
        <f t="shared" si="152"/>
        <v>168</v>
      </c>
      <c r="BT283" s="291">
        <f>BT282+BS283</f>
        <v>2669540</v>
      </c>
      <c r="BU283" s="291"/>
      <c r="BV283" s="291"/>
      <c r="BW283" s="291"/>
      <c r="BX283" s="291"/>
      <c r="BY283" s="805">
        <f t="shared" si="150"/>
        <v>150460</v>
      </c>
      <c r="CA283" s="805">
        <f t="shared" si="154"/>
        <v>0</v>
      </c>
      <c r="CB283" s="291">
        <f>CB282+CA283</f>
        <v>51036.5714285714</v>
      </c>
      <c r="CC283" s="291"/>
      <c r="CD283" s="291"/>
      <c r="CE283" s="291"/>
      <c r="CF283" s="291">
        <f t="shared" si="151"/>
        <v>8963.4285714286</v>
      </c>
      <c r="CG283" s="291"/>
    </row>
    <row r="284" s="805" customFormat="1" ht="32" hidden="1" customHeight="1" spans="1:85">
      <c r="A284" s="909">
        <v>46037</v>
      </c>
      <c r="B284" s="910" t="s">
        <v>2121</v>
      </c>
      <c r="C284" s="911" t="s">
        <v>84</v>
      </c>
      <c r="D284" s="912">
        <v>4500191491</v>
      </c>
      <c r="E284" s="1303" t="s">
        <v>2122</v>
      </c>
      <c r="F284" s="912" t="s">
        <v>2123</v>
      </c>
      <c r="G284" s="285" t="s">
        <v>1147</v>
      </c>
      <c r="H284" s="285" t="s">
        <v>1148</v>
      </c>
      <c r="I284" s="285">
        <v>600</v>
      </c>
      <c r="J284" s="285">
        <v>0</v>
      </c>
      <c r="K284" s="285">
        <v>12</v>
      </c>
      <c r="L284" s="931">
        <f t="shared" si="142"/>
        <v>50</v>
      </c>
      <c r="M284" s="932">
        <v>46104</v>
      </c>
      <c r="N284" s="932">
        <v>46100</v>
      </c>
      <c r="O284" s="933"/>
      <c r="P284" s="934"/>
      <c r="Q284" s="285"/>
      <c r="R284" s="945" t="s">
        <v>49</v>
      </c>
      <c r="S284" s="945" t="s">
        <v>48</v>
      </c>
      <c r="T284" s="945" t="s">
        <v>2124</v>
      </c>
      <c r="U284" s="946" t="s">
        <v>2125</v>
      </c>
      <c r="V284" s="932" t="s">
        <v>1225</v>
      </c>
      <c r="W284" s="946">
        <v>2.4244</v>
      </c>
      <c r="X284" s="947">
        <f t="shared" si="143"/>
        <v>1454.64</v>
      </c>
      <c r="Y284" s="285"/>
      <c r="Z284" s="285" t="s">
        <v>1884</v>
      </c>
      <c r="AA284" s="285" t="s">
        <v>53</v>
      </c>
      <c r="AB284" s="961" t="s">
        <v>54</v>
      </c>
      <c r="AC284" s="285"/>
      <c r="AD284" s="285"/>
      <c r="AE284" s="895">
        <f t="shared" si="136"/>
        <v>-600</v>
      </c>
      <c r="AF284" s="962"/>
      <c r="AG284" s="285"/>
      <c r="AH284" s="285"/>
      <c r="AI284" s="285">
        <f t="shared" si="156"/>
        <v>1200</v>
      </c>
      <c r="AJ284" s="285"/>
      <c r="AK284" s="968">
        <f t="shared" si="160"/>
        <v>1200</v>
      </c>
      <c r="AN284" s="285"/>
      <c r="AO284" s="285"/>
      <c r="AQ284" s="285">
        <f t="shared" si="157"/>
        <v>1200</v>
      </c>
      <c r="AR284" s="285"/>
      <c r="AS284" s="285"/>
      <c r="AT284" s="285"/>
      <c r="BC284" s="968"/>
      <c r="BL284" s="805">
        <f t="shared" si="158"/>
        <v>600</v>
      </c>
      <c r="BM284" s="805">
        <f t="shared" si="161"/>
        <v>600</v>
      </c>
      <c r="BO284" s="805">
        <f t="shared" si="159"/>
        <v>600</v>
      </c>
      <c r="BS284" s="291">
        <f t="shared" si="152"/>
        <v>1200</v>
      </c>
      <c r="BT284" s="291">
        <f>BT285+BS284</f>
        <v>2674748</v>
      </c>
      <c r="BU284" s="291"/>
      <c r="BV284" s="291"/>
      <c r="BW284" s="291"/>
      <c r="BX284" s="291"/>
      <c r="CB284" s="291"/>
      <c r="CC284" s="291"/>
      <c r="CD284" s="291"/>
      <c r="CE284" s="291"/>
      <c r="CF284" s="291"/>
      <c r="CG284" s="291"/>
    </row>
    <row r="285" s="805" customFormat="1" ht="32" hidden="1" customHeight="1" spans="1:85">
      <c r="A285" s="909">
        <v>45995</v>
      </c>
      <c r="B285" s="910" t="s">
        <v>1145</v>
      </c>
      <c r="C285" s="911" t="s">
        <v>84</v>
      </c>
      <c r="D285" s="912">
        <v>4500186326</v>
      </c>
      <c r="E285" s="910">
        <v>60260744</v>
      </c>
      <c r="F285" s="912" t="s">
        <v>2126</v>
      </c>
      <c r="G285" s="285" t="s">
        <v>1147</v>
      </c>
      <c r="H285" s="285" t="s">
        <v>1148</v>
      </c>
      <c r="I285" s="285">
        <v>2004</v>
      </c>
      <c r="J285" s="285">
        <v>0</v>
      </c>
      <c r="K285" s="285">
        <v>12</v>
      </c>
      <c r="L285" s="931">
        <f t="shared" si="142"/>
        <v>167</v>
      </c>
      <c r="M285" s="932">
        <v>46106</v>
      </c>
      <c r="N285" s="932">
        <v>46102</v>
      </c>
      <c r="O285" s="933"/>
      <c r="P285" s="934"/>
      <c r="Q285" s="285"/>
      <c r="R285" s="945">
        <v>45995</v>
      </c>
      <c r="S285" s="945" t="s">
        <v>58</v>
      </c>
      <c r="T285" s="945" t="s">
        <v>1150</v>
      </c>
      <c r="U285" s="946" t="s">
        <v>2127</v>
      </c>
      <c r="V285" s="932" t="s">
        <v>1788</v>
      </c>
      <c r="W285" s="946">
        <v>2.4174</v>
      </c>
      <c r="X285" s="947">
        <f t="shared" si="143"/>
        <v>4844.4696</v>
      </c>
      <c r="Y285" s="285"/>
      <c r="Z285" s="285" t="s">
        <v>1884</v>
      </c>
      <c r="AA285" s="285" t="s">
        <v>53</v>
      </c>
      <c r="AB285" s="961" t="s">
        <v>54</v>
      </c>
      <c r="AC285" s="285"/>
      <c r="AD285" s="285"/>
      <c r="AE285" s="895">
        <f t="shared" si="136"/>
        <v>-2004</v>
      </c>
      <c r="AF285" s="962"/>
      <c r="AG285" s="285" t="s">
        <v>55</v>
      </c>
      <c r="AH285" s="285"/>
      <c r="AI285" s="285">
        <f t="shared" si="156"/>
        <v>4008</v>
      </c>
      <c r="AJ285" s="285"/>
      <c r="AK285" s="968">
        <f t="shared" si="160"/>
        <v>4008</v>
      </c>
      <c r="AN285" s="285"/>
      <c r="AO285" s="285"/>
      <c r="AP285" s="807"/>
      <c r="AQ285" s="285">
        <f t="shared" si="157"/>
        <v>4008</v>
      </c>
      <c r="AR285" s="285"/>
      <c r="AS285" s="285"/>
      <c r="AT285" s="285"/>
      <c r="BC285" s="968"/>
      <c r="BL285" s="805">
        <f t="shared" si="158"/>
        <v>2004</v>
      </c>
      <c r="BN285" s="805">
        <f>I285</f>
        <v>2004</v>
      </c>
      <c r="BO285" s="805">
        <f t="shared" si="159"/>
        <v>2004</v>
      </c>
      <c r="BS285" s="291">
        <f t="shared" si="152"/>
        <v>4008</v>
      </c>
      <c r="BT285" s="291">
        <f>BT283+BS285</f>
        <v>2673548</v>
      </c>
      <c r="BU285" s="291"/>
      <c r="BV285" s="291"/>
      <c r="BW285" s="291"/>
      <c r="BX285" s="291"/>
      <c r="BY285" s="805">
        <f>SUM(BV$1:BZ$1)-BT285</f>
        <v>146452</v>
      </c>
      <c r="CA285" s="805">
        <f>AU285+AV285+BC285+BD285</f>
        <v>0</v>
      </c>
      <c r="CB285" s="291">
        <f>CB283+CA285</f>
        <v>51036.5714285714</v>
      </c>
      <c r="CC285" s="291"/>
      <c r="CD285" s="291"/>
      <c r="CE285" s="291"/>
      <c r="CF285" s="291">
        <f>$CD$1+$CE$1+$CF$1+$CG$1-CB285</f>
        <v>8963.4285714286</v>
      </c>
      <c r="CG285" s="291"/>
    </row>
    <row r="286" s="805" customFormat="1" ht="32" customHeight="1" spans="1:85">
      <c r="A286" s="909">
        <v>46048</v>
      </c>
      <c r="B286" s="910" t="s">
        <v>216</v>
      </c>
      <c r="C286" s="911" t="s">
        <v>217</v>
      </c>
      <c r="D286" s="912">
        <v>4500192280</v>
      </c>
      <c r="E286" s="910"/>
      <c r="F286" s="912" t="s">
        <v>2128</v>
      </c>
      <c r="G286" s="285" t="s">
        <v>1155</v>
      </c>
      <c r="H286" s="285" t="s">
        <v>1140</v>
      </c>
      <c r="I286" s="1002">
        <v>2000</v>
      </c>
      <c r="J286" s="285">
        <v>0</v>
      </c>
      <c r="K286" s="285">
        <v>50</v>
      </c>
      <c r="L286" s="931">
        <f t="shared" si="142"/>
        <v>40</v>
      </c>
      <c r="M286" s="932">
        <v>46112</v>
      </c>
      <c r="N286" s="932">
        <v>46108</v>
      </c>
      <c r="O286" s="933" t="s">
        <v>2129</v>
      </c>
      <c r="P286" s="934"/>
      <c r="Q286" s="285"/>
      <c r="R286" s="945">
        <v>46048</v>
      </c>
      <c r="S286" s="945" t="s">
        <v>58</v>
      </c>
      <c r="T286" s="945" t="s">
        <v>49</v>
      </c>
      <c r="U286" s="946" t="s">
        <v>2130</v>
      </c>
      <c r="V286" s="932" t="s">
        <v>214</v>
      </c>
      <c r="W286" s="1020">
        <v>1.9438</v>
      </c>
      <c r="X286" s="947">
        <f t="shared" si="143"/>
        <v>3887.6</v>
      </c>
      <c r="Y286" s="285"/>
      <c r="Z286" s="285" t="s">
        <v>1155</v>
      </c>
      <c r="AA286" s="285" t="s">
        <v>53</v>
      </c>
      <c r="AB286" s="961" t="s">
        <v>54</v>
      </c>
      <c r="AC286" s="285"/>
      <c r="AD286" s="285"/>
      <c r="AE286" s="895">
        <f t="shared" si="136"/>
        <v>-2000</v>
      </c>
      <c r="AF286" s="962"/>
      <c r="AG286" s="285"/>
      <c r="AH286" s="285"/>
      <c r="AI286" s="285">
        <f t="shared" si="156"/>
        <v>4000</v>
      </c>
      <c r="AJ286" s="285"/>
      <c r="AK286" s="968">
        <f>I286</f>
        <v>2000</v>
      </c>
      <c r="AN286" s="285"/>
      <c r="AO286" s="285"/>
      <c r="AQ286" s="285">
        <f>I286</f>
        <v>2000</v>
      </c>
      <c r="AR286" s="285"/>
      <c r="AS286" s="285"/>
      <c r="AT286" s="285"/>
      <c r="BC286" s="968">
        <f>I286/25</f>
        <v>80</v>
      </c>
      <c r="BS286" s="291">
        <f t="shared" si="152"/>
        <v>4000</v>
      </c>
      <c r="BT286" s="291">
        <f>BT285+BS286</f>
        <v>2677548</v>
      </c>
      <c r="BU286" s="291"/>
      <c r="BV286" s="291"/>
      <c r="BW286" s="291"/>
      <c r="BX286" s="291"/>
      <c r="CB286" s="291"/>
      <c r="CC286" s="291"/>
      <c r="CD286" s="291"/>
      <c r="CE286" s="291"/>
      <c r="CF286" s="291"/>
      <c r="CG286" s="291"/>
    </row>
    <row r="287" s="806" customFormat="1" ht="32" hidden="1" customHeight="1" spans="1:85">
      <c r="A287" s="977">
        <v>46065</v>
      </c>
      <c r="B287" s="978" t="s">
        <v>1255</v>
      </c>
      <c r="C287" s="979" t="s">
        <v>84</v>
      </c>
      <c r="D287" s="980">
        <v>4500193766</v>
      </c>
      <c r="E287" s="978">
        <v>272587</v>
      </c>
      <c r="F287" s="980" t="s">
        <v>2131</v>
      </c>
      <c r="G287" s="981" t="s">
        <v>1147</v>
      </c>
      <c r="H287" s="982" t="s">
        <v>1148</v>
      </c>
      <c r="I287" s="1003">
        <v>2196</v>
      </c>
      <c r="J287" s="982">
        <v>0</v>
      </c>
      <c r="K287" s="982">
        <v>12</v>
      </c>
      <c r="L287" s="1004">
        <f t="shared" si="142"/>
        <v>183</v>
      </c>
      <c r="M287" s="1005">
        <v>46113</v>
      </c>
      <c r="N287" s="1005">
        <f>M287-4</f>
        <v>46109</v>
      </c>
      <c r="O287" s="1006"/>
      <c r="P287" s="1007"/>
      <c r="Q287" s="981"/>
      <c r="R287" s="1022"/>
      <c r="S287" s="1022"/>
      <c r="T287" s="1023"/>
      <c r="U287" s="1021" t="s">
        <v>2132</v>
      </c>
      <c r="V287" s="1005" t="s">
        <v>1260</v>
      </c>
      <c r="W287" s="1024">
        <v>2.4174</v>
      </c>
      <c r="X287" s="1025">
        <f t="shared" si="143"/>
        <v>5308.6104</v>
      </c>
      <c r="Y287" s="981"/>
      <c r="Z287" s="981"/>
      <c r="AA287" s="981"/>
      <c r="AB287" s="1036"/>
      <c r="AC287" s="981"/>
      <c r="AD287" s="981"/>
      <c r="AE287" s="1037"/>
      <c r="AF287" s="1038"/>
      <c r="AG287" s="981"/>
      <c r="AH287" s="981"/>
      <c r="AI287" s="982">
        <f>I287*2</f>
        <v>4392</v>
      </c>
      <c r="AJ287" s="981"/>
      <c r="AK287" s="1043"/>
      <c r="AN287" s="981"/>
      <c r="AO287" s="981"/>
      <c r="AQ287" s="981"/>
      <c r="AR287" s="981"/>
      <c r="AS287" s="981"/>
      <c r="AT287" s="981"/>
      <c r="BC287" s="1043"/>
      <c r="BS287" s="1050"/>
      <c r="BT287" s="1050"/>
      <c r="BU287" s="1050"/>
      <c r="BV287" s="1050"/>
      <c r="BW287" s="1050"/>
      <c r="BX287" s="1050"/>
      <c r="CB287" s="1050"/>
      <c r="CC287" s="1050"/>
      <c r="CD287" s="1050"/>
      <c r="CE287" s="1050"/>
      <c r="CF287" s="1050"/>
      <c r="CG287" s="1050"/>
    </row>
    <row r="288" s="806" customFormat="1" ht="32" hidden="1" customHeight="1" spans="1:85">
      <c r="A288" s="977">
        <v>46065</v>
      </c>
      <c r="B288" s="978" t="s">
        <v>1255</v>
      </c>
      <c r="C288" s="979" t="s">
        <v>84</v>
      </c>
      <c r="D288" s="980">
        <v>4500193767</v>
      </c>
      <c r="E288" s="978">
        <v>272590</v>
      </c>
      <c r="F288" s="980" t="s">
        <v>2133</v>
      </c>
      <c r="G288" s="981" t="s">
        <v>1147</v>
      </c>
      <c r="H288" s="982" t="s">
        <v>1148</v>
      </c>
      <c r="I288" s="1003">
        <v>2400</v>
      </c>
      <c r="J288" s="982">
        <v>0</v>
      </c>
      <c r="K288" s="982">
        <v>12</v>
      </c>
      <c r="L288" s="1004">
        <f>I288/K288</f>
        <v>200</v>
      </c>
      <c r="M288" s="1005">
        <v>46113</v>
      </c>
      <c r="N288" s="1005">
        <f>M288-4</f>
        <v>46109</v>
      </c>
      <c r="O288" s="1006"/>
      <c r="P288" s="1007"/>
      <c r="Q288" s="981"/>
      <c r="R288" s="1022"/>
      <c r="S288" s="1022"/>
      <c r="T288" s="1023"/>
      <c r="U288" s="1021" t="s">
        <v>2132</v>
      </c>
      <c r="V288" s="1005" t="s">
        <v>1260</v>
      </c>
      <c r="W288" s="1024">
        <v>2.4174</v>
      </c>
      <c r="X288" s="1025">
        <f>I288*W288</f>
        <v>5801.76</v>
      </c>
      <c r="Y288" s="981"/>
      <c r="Z288" s="981"/>
      <c r="AA288" s="981"/>
      <c r="AB288" s="1036"/>
      <c r="AC288" s="981"/>
      <c r="AD288" s="981"/>
      <c r="AE288" s="1037"/>
      <c r="AF288" s="1038"/>
      <c r="AG288" s="981"/>
      <c r="AH288" s="981"/>
      <c r="AI288" s="982">
        <f>I288*2</f>
        <v>4800</v>
      </c>
      <c r="AJ288" s="981"/>
      <c r="AK288" s="1043"/>
      <c r="AN288" s="981"/>
      <c r="AO288" s="981"/>
      <c r="AQ288" s="981"/>
      <c r="AR288" s="981"/>
      <c r="AS288" s="981"/>
      <c r="AT288" s="981"/>
      <c r="BC288" s="1043"/>
      <c r="BS288" s="1050"/>
      <c r="BT288" s="1050"/>
      <c r="BU288" s="1050"/>
      <c r="BV288" s="1050"/>
      <c r="BW288" s="1050"/>
      <c r="BX288" s="1050"/>
      <c r="CB288" s="1050"/>
      <c r="CC288" s="1050"/>
      <c r="CD288" s="1050"/>
      <c r="CE288" s="1050"/>
      <c r="CF288" s="1050"/>
      <c r="CG288" s="1050"/>
    </row>
    <row r="289" s="806" customFormat="1" ht="32" customHeight="1" spans="1:85">
      <c r="A289" s="977">
        <v>46063</v>
      </c>
      <c r="B289" s="978" t="s">
        <v>240</v>
      </c>
      <c r="C289" s="979" t="s">
        <v>84</v>
      </c>
      <c r="D289" s="980">
        <v>4500193621</v>
      </c>
      <c r="E289" s="978">
        <v>5214</v>
      </c>
      <c r="F289" s="980" t="s">
        <v>2134</v>
      </c>
      <c r="G289" s="981" t="s">
        <v>1155</v>
      </c>
      <c r="H289" s="982" t="s">
        <v>1140</v>
      </c>
      <c r="I289" s="1003">
        <v>3600</v>
      </c>
      <c r="J289" s="982">
        <v>0</v>
      </c>
      <c r="K289" s="982">
        <v>50</v>
      </c>
      <c r="L289" s="1004">
        <f>I289/K289</f>
        <v>72</v>
      </c>
      <c r="M289" s="1005">
        <v>46113</v>
      </c>
      <c r="N289" s="1005">
        <f>M289-4</f>
        <v>46109</v>
      </c>
      <c r="O289" s="1006"/>
      <c r="P289" s="1007"/>
      <c r="Q289" s="981"/>
      <c r="R289" s="1022"/>
      <c r="S289" s="1022"/>
      <c r="T289" s="1023"/>
      <c r="U289" s="1021" t="s">
        <v>2135</v>
      </c>
      <c r="V289" s="1005" t="s">
        <v>243</v>
      </c>
      <c r="W289" s="1026">
        <v>1.1729</v>
      </c>
      <c r="X289" s="1025">
        <f>I289*W289</f>
        <v>4222.44</v>
      </c>
      <c r="Y289" s="981"/>
      <c r="Z289" s="981"/>
      <c r="AA289" s="981"/>
      <c r="AB289" s="1036"/>
      <c r="AC289" s="981"/>
      <c r="AD289" s="981"/>
      <c r="AE289" s="1037"/>
      <c r="AF289" s="1038"/>
      <c r="AG289" s="981"/>
      <c r="AH289" s="981"/>
      <c r="AI289" s="982">
        <f>I289*2</f>
        <v>7200</v>
      </c>
      <c r="AJ289" s="981"/>
      <c r="AK289" s="1043"/>
      <c r="AN289" s="981"/>
      <c r="AO289" s="981"/>
      <c r="AQ289" s="981"/>
      <c r="AR289" s="981"/>
      <c r="AS289" s="981"/>
      <c r="AT289" s="981"/>
      <c r="BC289" s="1043"/>
      <c r="BS289" s="1050"/>
      <c r="BT289" s="1050"/>
      <c r="BU289" s="1050"/>
      <c r="BV289" s="1050"/>
      <c r="BW289" s="1050"/>
      <c r="BX289" s="1050"/>
      <c r="CB289" s="1050"/>
      <c r="CC289" s="1050"/>
      <c r="CD289" s="1050"/>
      <c r="CE289" s="1050"/>
      <c r="CF289" s="1050"/>
      <c r="CG289" s="1050"/>
    </row>
    <row r="290" s="806" customFormat="1" ht="32" hidden="1" customHeight="1" spans="1:85">
      <c r="A290" s="977">
        <v>46065</v>
      </c>
      <c r="B290" s="978" t="s">
        <v>1255</v>
      </c>
      <c r="C290" s="979" t="s">
        <v>84</v>
      </c>
      <c r="D290" s="980">
        <v>4500193768</v>
      </c>
      <c r="E290" s="978">
        <v>272591</v>
      </c>
      <c r="F290" s="980" t="s">
        <v>2136</v>
      </c>
      <c r="G290" s="981" t="s">
        <v>1147</v>
      </c>
      <c r="H290" s="982" t="s">
        <v>1148</v>
      </c>
      <c r="I290" s="1003">
        <v>2196</v>
      </c>
      <c r="J290" s="982">
        <v>0</v>
      </c>
      <c r="K290" s="982">
        <v>12</v>
      </c>
      <c r="L290" s="1004">
        <f>I290/K290</f>
        <v>183</v>
      </c>
      <c r="M290" s="1005">
        <v>46115</v>
      </c>
      <c r="N290" s="1005">
        <f>M290-4</f>
        <v>46111</v>
      </c>
      <c r="O290" s="1006"/>
      <c r="P290" s="1007"/>
      <c r="Q290" s="981"/>
      <c r="R290" s="1022"/>
      <c r="S290" s="1022"/>
      <c r="T290" s="1023"/>
      <c r="U290" s="1021" t="s">
        <v>2132</v>
      </c>
      <c r="V290" s="1005" t="s">
        <v>1260</v>
      </c>
      <c r="W290" s="1024">
        <v>2.4174</v>
      </c>
      <c r="X290" s="1025">
        <f>I290*W290</f>
        <v>5308.6104</v>
      </c>
      <c r="Y290" s="981"/>
      <c r="Z290" s="981"/>
      <c r="AA290" s="981"/>
      <c r="AB290" s="1036"/>
      <c r="AC290" s="981"/>
      <c r="AD290" s="981"/>
      <c r="AE290" s="1037"/>
      <c r="AF290" s="1038"/>
      <c r="AG290" s="981"/>
      <c r="AH290" s="981"/>
      <c r="AI290" s="982">
        <f>I290*2</f>
        <v>4392</v>
      </c>
      <c r="AJ290" s="981"/>
      <c r="AK290" s="1043"/>
      <c r="AN290" s="981"/>
      <c r="AO290" s="981"/>
      <c r="AQ290" s="981"/>
      <c r="AR290" s="981"/>
      <c r="AS290" s="981"/>
      <c r="AT290" s="981"/>
      <c r="BC290" s="1043"/>
      <c r="BS290" s="1050"/>
      <c r="BT290" s="1050"/>
      <c r="BU290" s="1050"/>
      <c r="BV290" s="1050"/>
      <c r="BW290" s="1050"/>
      <c r="BX290" s="1050"/>
      <c r="CB290" s="1050"/>
      <c r="CC290" s="1050"/>
      <c r="CD290" s="1050"/>
      <c r="CE290" s="1050"/>
      <c r="CF290" s="1050"/>
      <c r="CG290" s="1050"/>
    </row>
    <row r="291" s="806" customFormat="1" ht="32" hidden="1" customHeight="1" spans="1:85">
      <c r="A291" s="977">
        <v>46065</v>
      </c>
      <c r="B291" s="978" t="s">
        <v>1255</v>
      </c>
      <c r="C291" s="979" t="s">
        <v>84</v>
      </c>
      <c r="D291" s="980">
        <v>4500193769</v>
      </c>
      <c r="E291" s="978">
        <v>272595</v>
      </c>
      <c r="F291" s="980" t="s">
        <v>2137</v>
      </c>
      <c r="G291" s="981" t="s">
        <v>1147</v>
      </c>
      <c r="H291" s="982" t="s">
        <v>1148</v>
      </c>
      <c r="I291" s="1003">
        <v>2400</v>
      </c>
      <c r="J291" s="982">
        <v>0</v>
      </c>
      <c r="K291" s="982">
        <v>12</v>
      </c>
      <c r="L291" s="1004">
        <f>I291/K291</f>
        <v>200</v>
      </c>
      <c r="M291" s="1005">
        <v>46115</v>
      </c>
      <c r="N291" s="1005">
        <f>M291-4</f>
        <v>46111</v>
      </c>
      <c r="O291" s="1006"/>
      <c r="P291" s="1007"/>
      <c r="Q291" s="981"/>
      <c r="R291" s="1022"/>
      <c r="S291" s="1022"/>
      <c r="T291" s="1023"/>
      <c r="U291" s="1021" t="s">
        <v>2132</v>
      </c>
      <c r="V291" s="1005" t="s">
        <v>1260</v>
      </c>
      <c r="W291" s="1024">
        <v>2.4174</v>
      </c>
      <c r="X291" s="1025">
        <f>I291*W291</f>
        <v>5801.76</v>
      </c>
      <c r="Y291" s="981"/>
      <c r="Z291" s="981"/>
      <c r="AA291" s="981"/>
      <c r="AB291" s="1036"/>
      <c r="AC291" s="981"/>
      <c r="AD291" s="981"/>
      <c r="AE291" s="1037"/>
      <c r="AF291" s="1038"/>
      <c r="AG291" s="981"/>
      <c r="AH291" s="981"/>
      <c r="AI291" s="982">
        <f>I291*2</f>
        <v>4800</v>
      </c>
      <c r="AJ291" s="981"/>
      <c r="AK291" s="1043"/>
      <c r="AN291" s="981"/>
      <c r="AO291" s="981"/>
      <c r="AQ291" s="981"/>
      <c r="AR291" s="981"/>
      <c r="AS291" s="981"/>
      <c r="AT291" s="981"/>
      <c r="BC291" s="1043"/>
      <c r="BS291" s="1050"/>
      <c r="BT291" s="1050"/>
      <c r="BU291" s="1050"/>
      <c r="BV291" s="1050"/>
      <c r="BW291" s="1050"/>
      <c r="BX291" s="1050"/>
      <c r="CB291" s="1050"/>
      <c r="CC291" s="1050"/>
      <c r="CD291" s="1050"/>
      <c r="CE291" s="1050"/>
      <c r="CF291" s="1050"/>
      <c r="CG291" s="1050"/>
    </row>
    <row r="292" s="807" customFormat="1" ht="32" hidden="1" customHeight="1" spans="1:85">
      <c r="A292" s="909">
        <v>46058</v>
      </c>
      <c r="B292" s="910" t="s">
        <v>1987</v>
      </c>
      <c r="C292" s="911" t="s">
        <v>84</v>
      </c>
      <c r="D292" s="912">
        <v>4500193110</v>
      </c>
      <c r="E292" s="910">
        <v>4561394538</v>
      </c>
      <c r="F292" s="912" t="s">
        <v>2138</v>
      </c>
      <c r="G292" s="285" t="s">
        <v>1290</v>
      </c>
      <c r="H292" s="285" t="s">
        <v>1140</v>
      </c>
      <c r="I292" s="285">
        <v>1332</v>
      </c>
      <c r="J292" s="285">
        <v>0</v>
      </c>
      <c r="K292" s="285">
        <v>6</v>
      </c>
      <c r="L292" s="931">
        <f t="shared" ref="L292:L308" si="162">I292/K292</f>
        <v>222</v>
      </c>
      <c r="M292" s="932">
        <v>46119</v>
      </c>
      <c r="N292" s="932">
        <v>46115</v>
      </c>
      <c r="O292" s="933"/>
      <c r="P292" s="934" t="s">
        <v>2139</v>
      </c>
      <c r="Q292" s="285"/>
      <c r="R292" s="945">
        <v>46058</v>
      </c>
      <c r="S292" s="285" t="s">
        <v>58</v>
      </c>
      <c r="T292" s="1019" t="s">
        <v>2140</v>
      </c>
      <c r="U292" s="946" t="s">
        <v>2141</v>
      </c>
      <c r="V292" s="932" t="s">
        <v>793</v>
      </c>
      <c r="W292" s="1020">
        <v>1.1527</v>
      </c>
      <c r="X292" s="947">
        <f t="shared" ref="X292:X308" si="163">I292*W292</f>
        <v>1535.3964</v>
      </c>
      <c r="Y292" s="285"/>
      <c r="Z292" s="285" t="s">
        <v>1290</v>
      </c>
      <c r="AA292" s="285"/>
      <c r="AB292" s="961"/>
      <c r="AC292" s="285"/>
      <c r="AD292" s="285"/>
      <c r="AE292" s="895">
        <f t="shared" ref="AE292:AE307" si="164">AD292-I292</f>
        <v>-1332</v>
      </c>
      <c r="AF292" s="962"/>
      <c r="AG292" s="285"/>
      <c r="AH292" s="285"/>
      <c r="AI292" s="285">
        <f t="shared" ref="AI292:AI300" si="165">I292</f>
        <v>1332</v>
      </c>
      <c r="AJ292" s="285"/>
      <c r="AK292" s="285">
        <f t="shared" ref="AK292:AK300" si="166">I292</f>
        <v>1332</v>
      </c>
      <c r="AL292" s="805"/>
      <c r="AM292" s="805"/>
      <c r="AN292" s="285"/>
      <c r="AO292" s="285"/>
      <c r="AP292" s="805"/>
      <c r="AQ292" s="285">
        <f t="shared" ref="AQ292:AQ300" si="167">I292</f>
        <v>1332</v>
      </c>
      <c r="AR292" s="285"/>
      <c r="AS292" s="285"/>
      <c r="AT292" s="285"/>
      <c r="AU292" s="805"/>
      <c r="AV292" s="805"/>
      <c r="AW292" s="805"/>
      <c r="AX292" s="805"/>
      <c r="AY292" s="805"/>
      <c r="AZ292" s="805">
        <f t="shared" ref="AZ292:AZ300" si="168">I292/6</f>
        <v>222</v>
      </c>
      <c r="BA292" s="805"/>
      <c r="BB292" s="805"/>
      <c r="BC292" s="968"/>
      <c r="BD292" s="805"/>
      <c r="BE292" s="805"/>
      <c r="BF292" s="805"/>
      <c r="BG292" s="805"/>
      <c r="BH292" s="805"/>
      <c r="BI292" s="805"/>
      <c r="BJ292" s="805"/>
      <c r="BK292" s="805"/>
      <c r="BL292" s="805"/>
      <c r="BM292" s="805"/>
      <c r="BN292" s="805"/>
      <c r="BO292" s="805"/>
      <c r="BP292" s="805"/>
      <c r="BQ292" s="805"/>
      <c r="BR292" s="805"/>
      <c r="BS292" s="291">
        <f t="shared" ref="BS292:BS308" si="169">AI292+AJ292</f>
        <v>1332</v>
      </c>
      <c r="BT292" s="291">
        <f>BT286+BS292</f>
        <v>2678880</v>
      </c>
      <c r="BU292" s="291"/>
      <c r="BV292" s="291"/>
      <c r="BW292" s="291"/>
      <c r="BX292" s="291"/>
      <c r="BY292" s="805">
        <f t="shared" ref="BY292:BY300" si="170">SUM(BV$1:BZ$1)-BT292</f>
        <v>141120</v>
      </c>
      <c r="BZ292" s="805"/>
      <c r="CA292" s="805">
        <f t="shared" ref="CA292:CA307" si="171">AU292+AV292+BC292+BD292</f>
        <v>0</v>
      </c>
      <c r="CB292" s="291">
        <f>CB286+CA292</f>
        <v>0</v>
      </c>
      <c r="CC292" s="291"/>
      <c r="CD292" s="291"/>
      <c r="CE292" s="291"/>
      <c r="CF292" s="291"/>
      <c r="CG292" s="291"/>
    </row>
    <row r="293" s="807" customFormat="1" ht="32" hidden="1" customHeight="1" spans="1:85">
      <c r="A293" s="909">
        <v>46058</v>
      </c>
      <c r="B293" s="910" t="s">
        <v>1987</v>
      </c>
      <c r="C293" s="911" t="s">
        <v>84</v>
      </c>
      <c r="D293" s="912">
        <v>4500193110</v>
      </c>
      <c r="E293" s="910">
        <v>4561394965</v>
      </c>
      <c r="F293" s="912" t="s">
        <v>2142</v>
      </c>
      <c r="G293" s="285" t="s">
        <v>1290</v>
      </c>
      <c r="H293" s="285" t="s">
        <v>1140</v>
      </c>
      <c r="I293" s="285">
        <v>132</v>
      </c>
      <c r="J293" s="285">
        <v>0</v>
      </c>
      <c r="K293" s="285">
        <v>6</v>
      </c>
      <c r="L293" s="931">
        <f t="shared" si="162"/>
        <v>22</v>
      </c>
      <c r="M293" s="932">
        <v>46119</v>
      </c>
      <c r="N293" s="932">
        <v>46115</v>
      </c>
      <c r="O293" s="933"/>
      <c r="P293" s="934" t="s">
        <v>2139</v>
      </c>
      <c r="Q293" s="285"/>
      <c r="R293" s="945">
        <v>46058</v>
      </c>
      <c r="S293" s="285" t="s">
        <v>58</v>
      </c>
      <c r="T293" s="1019" t="s">
        <v>2140</v>
      </c>
      <c r="U293" s="946" t="s">
        <v>2141</v>
      </c>
      <c r="V293" s="932" t="s">
        <v>793</v>
      </c>
      <c r="W293" s="1020">
        <v>1.1527</v>
      </c>
      <c r="X293" s="947">
        <f t="shared" si="163"/>
        <v>152.1564</v>
      </c>
      <c r="Y293" s="285"/>
      <c r="Z293" s="285" t="s">
        <v>1290</v>
      </c>
      <c r="AA293" s="285"/>
      <c r="AB293" s="961"/>
      <c r="AC293" s="285"/>
      <c r="AD293" s="285"/>
      <c r="AE293" s="895">
        <f t="shared" si="164"/>
        <v>-132</v>
      </c>
      <c r="AF293" s="962"/>
      <c r="AG293" s="285"/>
      <c r="AH293" s="285"/>
      <c r="AI293" s="285">
        <f t="shared" si="165"/>
        <v>132</v>
      </c>
      <c r="AJ293" s="285"/>
      <c r="AK293" s="285">
        <f t="shared" si="166"/>
        <v>132</v>
      </c>
      <c r="AL293" s="805"/>
      <c r="AM293" s="805"/>
      <c r="AN293" s="285"/>
      <c r="AO293" s="285"/>
      <c r="AP293" s="805"/>
      <c r="AQ293" s="285">
        <f t="shared" si="167"/>
        <v>132</v>
      </c>
      <c r="AR293" s="285"/>
      <c r="AS293" s="285"/>
      <c r="AT293" s="285"/>
      <c r="AU293" s="805"/>
      <c r="AV293" s="805"/>
      <c r="AW293" s="805"/>
      <c r="AX293" s="805"/>
      <c r="AY293" s="805"/>
      <c r="AZ293" s="805">
        <f t="shared" si="168"/>
        <v>22</v>
      </c>
      <c r="BA293" s="805"/>
      <c r="BB293" s="805"/>
      <c r="BC293" s="968"/>
      <c r="BD293" s="805"/>
      <c r="BE293" s="805"/>
      <c r="BF293" s="805"/>
      <c r="BG293" s="805"/>
      <c r="BH293" s="805"/>
      <c r="BI293" s="805"/>
      <c r="BJ293" s="805"/>
      <c r="BK293" s="805"/>
      <c r="BL293" s="805"/>
      <c r="BM293" s="805"/>
      <c r="BN293" s="805"/>
      <c r="BO293" s="805"/>
      <c r="BP293" s="805"/>
      <c r="BQ293" s="805"/>
      <c r="BR293" s="805"/>
      <c r="BS293" s="291">
        <f t="shared" si="169"/>
        <v>132</v>
      </c>
      <c r="BT293" s="291">
        <f t="shared" ref="BT292:BT301" si="172">BT292+BS293</f>
        <v>2679012</v>
      </c>
      <c r="BU293" s="291"/>
      <c r="BV293" s="291"/>
      <c r="BW293" s="291"/>
      <c r="BX293" s="291"/>
      <c r="BY293" s="805">
        <f t="shared" si="170"/>
        <v>140988</v>
      </c>
      <c r="BZ293" s="805"/>
      <c r="CA293" s="805">
        <f t="shared" si="171"/>
        <v>0</v>
      </c>
      <c r="CB293" s="291">
        <f t="shared" ref="CB292:CB300" si="173">CB292+CA293</f>
        <v>0</v>
      </c>
      <c r="CC293" s="291"/>
      <c r="CD293" s="291"/>
      <c r="CE293" s="291"/>
      <c r="CF293" s="291"/>
      <c r="CG293" s="291"/>
    </row>
    <row r="294" s="807" customFormat="1" ht="32" hidden="1" customHeight="1" spans="1:85">
      <c r="A294" s="909">
        <v>46058</v>
      </c>
      <c r="B294" s="910" t="s">
        <v>1987</v>
      </c>
      <c r="C294" s="911" t="s">
        <v>84</v>
      </c>
      <c r="D294" s="912">
        <v>4500193110</v>
      </c>
      <c r="E294" s="910">
        <v>4561394955</v>
      </c>
      <c r="F294" s="912" t="s">
        <v>2143</v>
      </c>
      <c r="G294" s="285" t="s">
        <v>1290</v>
      </c>
      <c r="H294" s="285" t="s">
        <v>1140</v>
      </c>
      <c r="I294" s="285">
        <v>1968</v>
      </c>
      <c r="J294" s="285">
        <v>0</v>
      </c>
      <c r="K294" s="285">
        <v>6</v>
      </c>
      <c r="L294" s="931">
        <f t="shared" si="162"/>
        <v>328</v>
      </c>
      <c r="M294" s="932">
        <v>46119</v>
      </c>
      <c r="N294" s="932">
        <v>46115</v>
      </c>
      <c r="O294" s="933"/>
      <c r="P294" s="934" t="s">
        <v>2139</v>
      </c>
      <c r="Q294" s="285"/>
      <c r="R294" s="945">
        <v>46058</v>
      </c>
      <c r="S294" s="285" t="s">
        <v>58</v>
      </c>
      <c r="T294" s="1019" t="s">
        <v>2140</v>
      </c>
      <c r="U294" s="946" t="s">
        <v>2141</v>
      </c>
      <c r="V294" s="932" t="s">
        <v>793</v>
      </c>
      <c r="W294" s="1020">
        <v>1.1527</v>
      </c>
      <c r="X294" s="947">
        <f t="shared" si="163"/>
        <v>2268.5136</v>
      </c>
      <c r="Y294" s="285"/>
      <c r="Z294" s="285" t="s">
        <v>1290</v>
      </c>
      <c r="AA294" s="285"/>
      <c r="AB294" s="961"/>
      <c r="AC294" s="285"/>
      <c r="AD294" s="285"/>
      <c r="AE294" s="895">
        <f t="shared" si="164"/>
        <v>-1968</v>
      </c>
      <c r="AF294" s="962"/>
      <c r="AG294" s="285"/>
      <c r="AH294" s="285"/>
      <c r="AI294" s="285">
        <f t="shared" si="165"/>
        <v>1968</v>
      </c>
      <c r="AJ294" s="285"/>
      <c r="AK294" s="285">
        <f t="shared" si="166"/>
        <v>1968</v>
      </c>
      <c r="AL294" s="805"/>
      <c r="AM294" s="805"/>
      <c r="AN294" s="285"/>
      <c r="AO294" s="285"/>
      <c r="AP294" s="805"/>
      <c r="AQ294" s="285">
        <f t="shared" si="167"/>
        <v>1968</v>
      </c>
      <c r="AR294" s="285"/>
      <c r="AS294" s="285"/>
      <c r="AT294" s="285"/>
      <c r="AU294" s="805"/>
      <c r="AV294" s="805"/>
      <c r="AW294" s="805"/>
      <c r="AX294" s="805"/>
      <c r="AY294" s="805"/>
      <c r="AZ294" s="805">
        <f t="shared" si="168"/>
        <v>328</v>
      </c>
      <c r="BA294" s="805"/>
      <c r="BB294" s="805"/>
      <c r="BC294" s="968"/>
      <c r="BD294" s="805"/>
      <c r="BE294" s="805"/>
      <c r="BF294" s="805"/>
      <c r="BG294" s="805"/>
      <c r="BH294" s="805"/>
      <c r="BI294" s="805"/>
      <c r="BJ294" s="805"/>
      <c r="BK294" s="805"/>
      <c r="BL294" s="805"/>
      <c r="BM294" s="805"/>
      <c r="BN294" s="805"/>
      <c r="BO294" s="805"/>
      <c r="BP294" s="805"/>
      <c r="BQ294" s="805"/>
      <c r="BR294" s="805"/>
      <c r="BS294" s="291">
        <f t="shared" si="169"/>
        <v>1968</v>
      </c>
      <c r="BT294" s="291">
        <f t="shared" si="172"/>
        <v>2680980</v>
      </c>
      <c r="BU294" s="291"/>
      <c r="BV294" s="291"/>
      <c r="BW294" s="291"/>
      <c r="BX294" s="291"/>
      <c r="BY294" s="805">
        <f t="shared" si="170"/>
        <v>139020</v>
      </c>
      <c r="BZ294" s="805"/>
      <c r="CA294" s="805">
        <f t="shared" si="171"/>
        <v>0</v>
      </c>
      <c r="CB294" s="291">
        <f t="shared" si="173"/>
        <v>0</v>
      </c>
      <c r="CC294" s="291"/>
      <c r="CD294" s="291"/>
      <c r="CE294" s="291"/>
      <c r="CF294" s="291"/>
      <c r="CG294" s="291"/>
    </row>
    <row r="295" s="807" customFormat="1" ht="32" hidden="1" customHeight="1" spans="1:85">
      <c r="A295" s="909">
        <v>46058</v>
      </c>
      <c r="B295" s="910" t="s">
        <v>1987</v>
      </c>
      <c r="C295" s="911" t="s">
        <v>84</v>
      </c>
      <c r="D295" s="912">
        <v>4500193110</v>
      </c>
      <c r="E295" s="910">
        <v>4561394540</v>
      </c>
      <c r="F295" s="912" t="s">
        <v>2144</v>
      </c>
      <c r="G295" s="285" t="s">
        <v>1290</v>
      </c>
      <c r="H295" s="285" t="s">
        <v>1140</v>
      </c>
      <c r="I295" s="285">
        <v>1464</v>
      </c>
      <c r="J295" s="285">
        <v>0</v>
      </c>
      <c r="K295" s="285">
        <v>6</v>
      </c>
      <c r="L295" s="931">
        <f t="shared" si="162"/>
        <v>244</v>
      </c>
      <c r="M295" s="932">
        <v>46119</v>
      </c>
      <c r="N295" s="932">
        <v>46115</v>
      </c>
      <c r="O295" s="933"/>
      <c r="P295" s="934" t="s">
        <v>2139</v>
      </c>
      <c r="Q295" s="285"/>
      <c r="R295" s="945">
        <v>46058</v>
      </c>
      <c r="S295" s="285" t="s">
        <v>58</v>
      </c>
      <c r="T295" s="1019" t="s">
        <v>2140</v>
      </c>
      <c r="U295" s="946" t="s">
        <v>2141</v>
      </c>
      <c r="V295" s="932" t="s">
        <v>793</v>
      </c>
      <c r="W295" s="1020">
        <v>1.1527</v>
      </c>
      <c r="X295" s="947">
        <f t="shared" si="163"/>
        <v>1687.5528</v>
      </c>
      <c r="Y295" s="285"/>
      <c r="Z295" s="285" t="s">
        <v>1290</v>
      </c>
      <c r="AA295" s="285"/>
      <c r="AB295" s="961"/>
      <c r="AC295" s="285"/>
      <c r="AD295" s="285"/>
      <c r="AE295" s="895">
        <f t="shared" si="164"/>
        <v>-1464</v>
      </c>
      <c r="AF295" s="962"/>
      <c r="AG295" s="285"/>
      <c r="AH295" s="285"/>
      <c r="AI295" s="285">
        <f t="shared" si="165"/>
        <v>1464</v>
      </c>
      <c r="AJ295" s="285"/>
      <c r="AK295" s="285">
        <f t="shared" si="166"/>
        <v>1464</v>
      </c>
      <c r="AL295" s="805"/>
      <c r="AM295" s="805"/>
      <c r="AN295" s="285"/>
      <c r="AO295" s="285"/>
      <c r="AP295" s="805"/>
      <c r="AQ295" s="285">
        <f t="shared" si="167"/>
        <v>1464</v>
      </c>
      <c r="AR295" s="285"/>
      <c r="AS295" s="285"/>
      <c r="AT295" s="285"/>
      <c r="AU295" s="805"/>
      <c r="AV295" s="805"/>
      <c r="AW295" s="805"/>
      <c r="AX295" s="805"/>
      <c r="AY295" s="805"/>
      <c r="AZ295" s="805">
        <f t="shared" si="168"/>
        <v>244</v>
      </c>
      <c r="BA295" s="805"/>
      <c r="BB295" s="805"/>
      <c r="BC295" s="968"/>
      <c r="BD295" s="805"/>
      <c r="BE295" s="805"/>
      <c r="BF295" s="805"/>
      <c r="BG295" s="805"/>
      <c r="BH295" s="805"/>
      <c r="BI295" s="805"/>
      <c r="BJ295" s="805"/>
      <c r="BK295" s="805"/>
      <c r="BL295" s="805"/>
      <c r="BM295" s="805"/>
      <c r="BN295" s="805"/>
      <c r="BO295" s="805"/>
      <c r="BP295" s="805"/>
      <c r="BQ295" s="805"/>
      <c r="BR295" s="805"/>
      <c r="BS295" s="291">
        <f t="shared" si="169"/>
        <v>1464</v>
      </c>
      <c r="BT295" s="291">
        <f t="shared" si="172"/>
        <v>2682444</v>
      </c>
      <c r="BU295" s="291"/>
      <c r="BV295" s="291"/>
      <c r="BW295" s="291"/>
      <c r="BX295" s="291"/>
      <c r="BY295" s="805">
        <f t="shared" si="170"/>
        <v>137556</v>
      </c>
      <c r="BZ295" s="805"/>
      <c r="CA295" s="805">
        <f t="shared" si="171"/>
        <v>0</v>
      </c>
      <c r="CB295" s="291">
        <f t="shared" si="173"/>
        <v>0</v>
      </c>
      <c r="CC295" s="291"/>
      <c r="CD295" s="291"/>
      <c r="CE295" s="291"/>
      <c r="CF295" s="291"/>
      <c r="CG295" s="291"/>
    </row>
    <row r="296" s="807" customFormat="1" ht="32" hidden="1" customHeight="1" spans="1:85">
      <c r="A296" s="909">
        <v>46058</v>
      </c>
      <c r="B296" s="910" t="s">
        <v>1987</v>
      </c>
      <c r="C296" s="911" t="s">
        <v>84</v>
      </c>
      <c r="D296" s="912">
        <v>4500193110</v>
      </c>
      <c r="E296" s="910">
        <v>4561394645</v>
      </c>
      <c r="F296" s="912" t="s">
        <v>2145</v>
      </c>
      <c r="G296" s="285" t="s">
        <v>1290</v>
      </c>
      <c r="H296" s="285" t="s">
        <v>1140</v>
      </c>
      <c r="I296" s="285">
        <v>1032</v>
      </c>
      <c r="J296" s="285">
        <v>0</v>
      </c>
      <c r="K296" s="285">
        <v>6</v>
      </c>
      <c r="L296" s="931">
        <f t="shared" si="162"/>
        <v>172</v>
      </c>
      <c r="M296" s="932">
        <v>46119</v>
      </c>
      <c r="N296" s="932">
        <v>46115</v>
      </c>
      <c r="O296" s="933"/>
      <c r="P296" s="934" t="s">
        <v>2139</v>
      </c>
      <c r="Q296" s="285"/>
      <c r="R296" s="945">
        <v>46058</v>
      </c>
      <c r="S296" s="285" t="s">
        <v>58</v>
      </c>
      <c r="T296" s="1019" t="s">
        <v>2140</v>
      </c>
      <c r="U296" s="946" t="s">
        <v>2141</v>
      </c>
      <c r="V296" s="932" t="s">
        <v>793</v>
      </c>
      <c r="W296" s="1020">
        <v>1.1527</v>
      </c>
      <c r="X296" s="947">
        <f t="shared" si="163"/>
        <v>1189.5864</v>
      </c>
      <c r="Y296" s="285"/>
      <c r="Z296" s="285" t="s">
        <v>1290</v>
      </c>
      <c r="AA296" s="285"/>
      <c r="AB296" s="961"/>
      <c r="AC296" s="285"/>
      <c r="AD296" s="285"/>
      <c r="AE296" s="895">
        <f t="shared" si="164"/>
        <v>-1032</v>
      </c>
      <c r="AF296" s="962"/>
      <c r="AG296" s="285"/>
      <c r="AH296" s="285"/>
      <c r="AI296" s="285">
        <f t="shared" si="165"/>
        <v>1032</v>
      </c>
      <c r="AJ296" s="285"/>
      <c r="AK296" s="285">
        <f t="shared" si="166"/>
        <v>1032</v>
      </c>
      <c r="AL296" s="805"/>
      <c r="AM296" s="805"/>
      <c r="AN296" s="285"/>
      <c r="AO296" s="285"/>
      <c r="AP296" s="805"/>
      <c r="AQ296" s="285">
        <f t="shared" si="167"/>
        <v>1032</v>
      </c>
      <c r="AR296" s="285"/>
      <c r="AS296" s="285"/>
      <c r="AT296" s="285"/>
      <c r="AU296" s="805"/>
      <c r="AV296" s="805"/>
      <c r="AW296" s="805"/>
      <c r="AX296" s="805"/>
      <c r="AY296" s="805"/>
      <c r="AZ296" s="805">
        <f t="shared" si="168"/>
        <v>172</v>
      </c>
      <c r="BA296" s="805"/>
      <c r="BB296" s="805"/>
      <c r="BC296" s="968"/>
      <c r="BD296" s="805"/>
      <c r="BE296" s="805"/>
      <c r="BF296" s="805"/>
      <c r="BG296" s="805"/>
      <c r="BH296" s="805"/>
      <c r="BI296" s="805"/>
      <c r="BJ296" s="805"/>
      <c r="BK296" s="805"/>
      <c r="BL296" s="805"/>
      <c r="BM296" s="805"/>
      <c r="BN296" s="805"/>
      <c r="BO296" s="805"/>
      <c r="BP296" s="805"/>
      <c r="BQ296" s="805"/>
      <c r="BR296" s="805"/>
      <c r="BS296" s="291">
        <f t="shared" si="169"/>
        <v>1032</v>
      </c>
      <c r="BT296" s="291">
        <f t="shared" si="172"/>
        <v>2683476</v>
      </c>
      <c r="BU296" s="291"/>
      <c r="BV296" s="291"/>
      <c r="BW296" s="291"/>
      <c r="BX296" s="291"/>
      <c r="BY296" s="805">
        <f t="shared" si="170"/>
        <v>136524</v>
      </c>
      <c r="BZ296" s="805"/>
      <c r="CA296" s="805">
        <f t="shared" si="171"/>
        <v>0</v>
      </c>
      <c r="CB296" s="291">
        <f t="shared" si="173"/>
        <v>0</v>
      </c>
      <c r="CC296" s="291"/>
      <c r="CD296" s="291"/>
      <c r="CE296" s="291"/>
      <c r="CF296" s="291"/>
      <c r="CG296" s="291"/>
    </row>
    <row r="297" s="807" customFormat="1" ht="32" hidden="1" customHeight="1" spans="1:85">
      <c r="A297" s="909">
        <v>46058</v>
      </c>
      <c r="B297" s="910" t="s">
        <v>1987</v>
      </c>
      <c r="C297" s="911" t="s">
        <v>84</v>
      </c>
      <c r="D297" s="912">
        <v>4500193110</v>
      </c>
      <c r="E297" s="910">
        <v>4561394488</v>
      </c>
      <c r="F297" s="912" t="s">
        <v>2146</v>
      </c>
      <c r="G297" s="285" t="s">
        <v>1290</v>
      </c>
      <c r="H297" s="285" t="s">
        <v>1140</v>
      </c>
      <c r="I297" s="285">
        <v>372</v>
      </c>
      <c r="J297" s="285">
        <v>0</v>
      </c>
      <c r="K297" s="285">
        <v>6</v>
      </c>
      <c r="L297" s="931">
        <f t="shared" si="162"/>
        <v>62</v>
      </c>
      <c r="M297" s="932">
        <v>46119</v>
      </c>
      <c r="N297" s="932">
        <v>46115</v>
      </c>
      <c r="O297" s="933"/>
      <c r="P297" s="934" t="s">
        <v>2139</v>
      </c>
      <c r="Q297" s="285"/>
      <c r="R297" s="945">
        <v>46058</v>
      </c>
      <c r="S297" s="285" t="s">
        <v>58</v>
      </c>
      <c r="T297" s="1019" t="s">
        <v>2140</v>
      </c>
      <c r="U297" s="946" t="s">
        <v>2141</v>
      </c>
      <c r="V297" s="932" t="s">
        <v>793</v>
      </c>
      <c r="W297" s="1020">
        <v>1.1527</v>
      </c>
      <c r="X297" s="947">
        <f t="shared" si="163"/>
        <v>428.8044</v>
      </c>
      <c r="Y297" s="285"/>
      <c r="Z297" s="285" t="s">
        <v>1290</v>
      </c>
      <c r="AA297" s="285"/>
      <c r="AB297" s="961"/>
      <c r="AC297" s="285"/>
      <c r="AD297" s="285"/>
      <c r="AE297" s="895">
        <f t="shared" si="164"/>
        <v>-372</v>
      </c>
      <c r="AF297" s="962"/>
      <c r="AG297" s="285"/>
      <c r="AH297" s="285"/>
      <c r="AI297" s="285">
        <f t="shared" si="165"/>
        <v>372</v>
      </c>
      <c r="AJ297" s="285"/>
      <c r="AK297" s="285">
        <f t="shared" si="166"/>
        <v>372</v>
      </c>
      <c r="AL297" s="805"/>
      <c r="AM297" s="805"/>
      <c r="AN297" s="285"/>
      <c r="AO297" s="285"/>
      <c r="AP297" s="805"/>
      <c r="AQ297" s="285">
        <f t="shared" si="167"/>
        <v>372</v>
      </c>
      <c r="AR297" s="285"/>
      <c r="AS297" s="285"/>
      <c r="AT297" s="285"/>
      <c r="AU297" s="805"/>
      <c r="AV297" s="805"/>
      <c r="AW297" s="805"/>
      <c r="AX297" s="805"/>
      <c r="AY297" s="805"/>
      <c r="AZ297" s="805">
        <f t="shared" si="168"/>
        <v>62</v>
      </c>
      <c r="BA297" s="805"/>
      <c r="BB297" s="805"/>
      <c r="BC297" s="968"/>
      <c r="BD297" s="805"/>
      <c r="BE297" s="805"/>
      <c r="BF297" s="805"/>
      <c r="BG297" s="805"/>
      <c r="BH297" s="805"/>
      <c r="BI297" s="805"/>
      <c r="BJ297" s="805"/>
      <c r="BK297" s="805"/>
      <c r="BL297" s="805"/>
      <c r="BM297" s="805"/>
      <c r="BN297" s="805"/>
      <c r="BO297" s="805"/>
      <c r="BP297" s="805"/>
      <c r="BQ297" s="805"/>
      <c r="BR297" s="805"/>
      <c r="BS297" s="291">
        <f t="shared" si="169"/>
        <v>372</v>
      </c>
      <c r="BT297" s="291">
        <f t="shared" si="172"/>
        <v>2683848</v>
      </c>
      <c r="BU297" s="291"/>
      <c r="BV297" s="291"/>
      <c r="BW297" s="291"/>
      <c r="BX297" s="291"/>
      <c r="BY297" s="805">
        <f t="shared" si="170"/>
        <v>136152</v>
      </c>
      <c r="BZ297" s="805"/>
      <c r="CA297" s="805">
        <f t="shared" si="171"/>
        <v>0</v>
      </c>
      <c r="CB297" s="291">
        <f t="shared" si="173"/>
        <v>0</v>
      </c>
      <c r="CC297" s="291"/>
      <c r="CD297" s="291"/>
      <c r="CE297" s="291"/>
      <c r="CF297" s="291"/>
      <c r="CG297" s="291"/>
    </row>
    <row r="298" s="807" customFormat="1" ht="32" hidden="1" customHeight="1" spans="1:85">
      <c r="A298" s="909">
        <v>46058</v>
      </c>
      <c r="B298" s="910" t="s">
        <v>1987</v>
      </c>
      <c r="C298" s="911" t="s">
        <v>84</v>
      </c>
      <c r="D298" s="912">
        <v>4500193110</v>
      </c>
      <c r="E298" s="910">
        <v>4561394486</v>
      </c>
      <c r="F298" s="912" t="s">
        <v>2147</v>
      </c>
      <c r="G298" s="285" t="s">
        <v>1290</v>
      </c>
      <c r="H298" s="285" t="s">
        <v>1140</v>
      </c>
      <c r="I298" s="285">
        <v>1404</v>
      </c>
      <c r="J298" s="285">
        <v>0</v>
      </c>
      <c r="K298" s="285">
        <v>6</v>
      </c>
      <c r="L298" s="931">
        <f t="shared" si="162"/>
        <v>234</v>
      </c>
      <c r="M298" s="932">
        <v>46119</v>
      </c>
      <c r="N298" s="932">
        <v>46115</v>
      </c>
      <c r="O298" s="933"/>
      <c r="P298" s="934" t="s">
        <v>2139</v>
      </c>
      <c r="Q298" s="285"/>
      <c r="R298" s="945">
        <v>46058</v>
      </c>
      <c r="S298" s="285" t="s">
        <v>58</v>
      </c>
      <c r="T298" s="1019" t="s">
        <v>2140</v>
      </c>
      <c r="U298" s="946" t="s">
        <v>2141</v>
      </c>
      <c r="V298" s="932" t="s">
        <v>793</v>
      </c>
      <c r="W298" s="1020">
        <v>1.1527</v>
      </c>
      <c r="X298" s="947">
        <f t="shared" si="163"/>
        <v>1618.3908</v>
      </c>
      <c r="Y298" s="285"/>
      <c r="Z298" s="285" t="s">
        <v>1290</v>
      </c>
      <c r="AA298" s="285"/>
      <c r="AB298" s="961"/>
      <c r="AC298" s="285"/>
      <c r="AD298" s="285"/>
      <c r="AE298" s="895">
        <f t="shared" si="164"/>
        <v>-1404</v>
      </c>
      <c r="AF298" s="962"/>
      <c r="AG298" s="285"/>
      <c r="AH298" s="285"/>
      <c r="AI298" s="285">
        <f t="shared" si="165"/>
        <v>1404</v>
      </c>
      <c r="AJ298" s="285"/>
      <c r="AK298" s="285">
        <f t="shared" si="166"/>
        <v>1404</v>
      </c>
      <c r="AL298" s="805"/>
      <c r="AM298" s="805"/>
      <c r="AN298" s="285"/>
      <c r="AO298" s="285"/>
      <c r="AP298" s="805"/>
      <c r="AQ298" s="285">
        <f t="shared" si="167"/>
        <v>1404</v>
      </c>
      <c r="AR298" s="285"/>
      <c r="AS298" s="285"/>
      <c r="AT298" s="285"/>
      <c r="AU298" s="805"/>
      <c r="AV298" s="805"/>
      <c r="AW298" s="805"/>
      <c r="AX298" s="805"/>
      <c r="AY298" s="805"/>
      <c r="AZ298" s="805">
        <f t="shared" si="168"/>
        <v>234</v>
      </c>
      <c r="BA298" s="805"/>
      <c r="BB298" s="805"/>
      <c r="BC298" s="968"/>
      <c r="BD298" s="805"/>
      <c r="BE298" s="805"/>
      <c r="BF298" s="805"/>
      <c r="BG298" s="805"/>
      <c r="BH298" s="805"/>
      <c r="BI298" s="805"/>
      <c r="BJ298" s="805"/>
      <c r="BK298" s="805"/>
      <c r="BL298" s="805"/>
      <c r="BM298" s="805"/>
      <c r="BN298" s="805"/>
      <c r="BO298" s="805"/>
      <c r="BP298" s="805"/>
      <c r="BQ298" s="805"/>
      <c r="BR298" s="805"/>
      <c r="BS298" s="291">
        <f t="shared" si="169"/>
        <v>1404</v>
      </c>
      <c r="BT298" s="291">
        <f t="shared" si="172"/>
        <v>2685252</v>
      </c>
      <c r="BU298" s="291"/>
      <c r="BV298" s="291"/>
      <c r="BW298" s="291"/>
      <c r="BX298" s="291"/>
      <c r="BY298" s="805">
        <f t="shared" si="170"/>
        <v>134748</v>
      </c>
      <c r="BZ298" s="805"/>
      <c r="CA298" s="805">
        <f t="shared" si="171"/>
        <v>0</v>
      </c>
      <c r="CB298" s="291">
        <f t="shared" si="173"/>
        <v>0</v>
      </c>
      <c r="CC298" s="291"/>
      <c r="CD298" s="291"/>
      <c r="CE298" s="291"/>
      <c r="CF298" s="291"/>
      <c r="CG298" s="291"/>
    </row>
    <row r="299" s="807" customFormat="1" ht="32" hidden="1" customHeight="1" spans="1:85">
      <c r="A299" s="909">
        <v>46058</v>
      </c>
      <c r="B299" s="910" t="s">
        <v>1987</v>
      </c>
      <c r="C299" s="911" t="s">
        <v>84</v>
      </c>
      <c r="D299" s="912">
        <v>4500193110</v>
      </c>
      <c r="E299" s="910">
        <v>4561394954</v>
      </c>
      <c r="F299" s="912" t="s">
        <v>2148</v>
      </c>
      <c r="G299" s="285" t="s">
        <v>1290</v>
      </c>
      <c r="H299" s="285" t="s">
        <v>1140</v>
      </c>
      <c r="I299" s="285">
        <v>108</v>
      </c>
      <c r="J299" s="285">
        <v>0</v>
      </c>
      <c r="K299" s="285">
        <v>6</v>
      </c>
      <c r="L299" s="931">
        <f t="shared" si="162"/>
        <v>18</v>
      </c>
      <c r="M299" s="932">
        <v>46119</v>
      </c>
      <c r="N299" s="932">
        <v>46115</v>
      </c>
      <c r="O299" s="933"/>
      <c r="P299" s="934" t="s">
        <v>2139</v>
      </c>
      <c r="Q299" s="285"/>
      <c r="R299" s="945">
        <v>46058</v>
      </c>
      <c r="S299" s="285" t="s">
        <v>58</v>
      </c>
      <c r="T299" s="1019" t="s">
        <v>2140</v>
      </c>
      <c r="U299" s="946" t="s">
        <v>2141</v>
      </c>
      <c r="V299" s="932" t="s">
        <v>793</v>
      </c>
      <c r="W299" s="1020">
        <v>1.1527</v>
      </c>
      <c r="X299" s="947">
        <f t="shared" si="163"/>
        <v>124.4916</v>
      </c>
      <c r="Y299" s="285"/>
      <c r="Z299" s="285" t="s">
        <v>1290</v>
      </c>
      <c r="AA299" s="285"/>
      <c r="AB299" s="961"/>
      <c r="AC299" s="285"/>
      <c r="AD299" s="285"/>
      <c r="AE299" s="895">
        <f t="shared" si="164"/>
        <v>-108</v>
      </c>
      <c r="AF299" s="962"/>
      <c r="AG299" s="285"/>
      <c r="AH299" s="285"/>
      <c r="AI299" s="285">
        <f t="shared" si="165"/>
        <v>108</v>
      </c>
      <c r="AJ299" s="285"/>
      <c r="AK299" s="285">
        <f t="shared" si="166"/>
        <v>108</v>
      </c>
      <c r="AL299" s="805"/>
      <c r="AM299" s="805"/>
      <c r="AN299" s="285"/>
      <c r="AO299" s="285"/>
      <c r="AP299" s="805"/>
      <c r="AQ299" s="285">
        <f t="shared" si="167"/>
        <v>108</v>
      </c>
      <c r="AR299" s="285"/>
      <c r="AS299" s="285"/>
      <c r="AT299" s="285"/>
      <c r="AU299" s="805"/>
      <c r="AV299" s="805"/>
      <c r="AW299" s="805"/>
      <c r="AX299" s="805"/>
      <c r="AY299" s="805"/>
      <c r="AZ299" s="805">
        <f t="shared" si="168"/>
        <v>18</v>
      </c>
      <c r="BA299" s="805"/>
      <c r="BB299" s="805"/>
      <c r="BC299" s="968"/>
      <c r="BD299" s="805"/>
      <c r="BE299" s="805"/>
      <c r="BF299" s="805"/>
      <c r="BG299" s="805"/>
      <c r="BH299" s="805"/>
      <c r="BI299" s="805"/>
      <c r="BJ299" s="805"/>
      <c r="BK299" s="805"/>
      <c r="BL299" s="805"/>
      <c r="BM299" s="805"/>
      <c r="BN299" s="805"/>
      <c r="BO299" s="805"/>
      <c r="BP299" s="805"/>
      <c r="BQ299" s="805"/>
      <c r="BR299" s="805"/>
      <c r="BS299" s="291">
        <f t="shared" si="169"/>
        <v>108</v>
      </c>
      <c r="BT299" s="291">
        <f t="shared" si="172"/>
        <v>2685360</v>
      </c>
      <c r="BU299" s="291"/>
      <c r="BV299" s="291"/>
      <c r="BW299" s="291"/>
      <c r="BX299" s="291"/>
      <c r="BY299" s="805">
        <f t="shared" si="170"/>
        <v>134640</v>
      </c>
      <c r="BZ299" s="805"/>
      <c r="CA299" s="805">
        <f t="shared" si="171"/>
        <v>0</v>
      </c>
      <c r="CB299" s="291">
        <f t="shared" si="173"/>
        <v>0</v>
      </c>
      <c r="CC299" s="291"/>
      <c r="CD299" s="291"/>
      <c r="CE299" s="291"/>
      <c r="CF299" s="291"/>
      <c r="CG299" s="291"/>
    </row>
    <row r="300" s="807" customFormat="1" ht="32" hidden="1" customHeight="1" spans="1:85">
      <c r="A300" s="909">
        <v>46058</v>
      </c>
      <c r="B300" s="910" t="s">
        <v>1987</v>
      </c>
      <c r="C300" s="911" t="s">
        <v>84</v>
      </c>
      <c r="D300" s="912">
        <v>4500193110</v>
      </c>
      <c r="E300" s="910">
        <v>4561394993</v>
      </c>
      <c r="F300" s="912" t="s">
        <v>2149</v>
      </c>
      <c r="G300" s="285" t="s">
        <v>1290</v>
      </c>
      <c r="H300" s="285" t="s">
        <v>1140</v>
      </c>
      <c r="I300" s="285">
        <v>2184</v>
      </c>
      <c r="J300" s="285">
        <v>0</v>
      </c>
      <c r="K300" s="285">
        <v>6</v>
      </c>
      <c r="L300" s="931">
        <f t="shared" si="162"/>
        <v>364</v>
      </c>
      <c r="M300" s="932">
        <v>46119</v>
      </c>
      <c r="N300" s="932">
        <v>46115</v>
      </c>
      <c r="O300" s="933"/>
      <c r="P300" s="934" t="s">
        <v>2139</v>
      </c>
      <c r="Q300" s="285"/>
      <c r="R300" s="945">
        <v>46058</v>
      </c>
      <c r="S300" s="285" t="s">
        <v>58</v>
      </c>
      <c r="T300" s="1019" t="s">
        <v>2140</v>
      </c>
      <c r="U300" s="946" t="s">
        <v>2141</v>
      </c>
      <c r="V300" s="932" t="s">
        <v>793</v>
      </c>
      <c r="W300" s="1020">
        <v>1.1527</v>
      </c>
      <c r="X300" s="947">
        <f t="shared" si="163"/>
        <v>2517.4968</v>
      </c>
      <c r="Y300" s="285"/>
      <c r="Z300" s="285" t="s">
        <v>1290</v>
      </c>
      <c r="AA300" s="285"/>
      <c r="AB300" s="961"/>
      <c r="AC300" s="285"/>
      <c r="AD300" s="285"/>
      <c r="AE300" s="895">
        <f t="shared" si="164"/>
        <v>-2184</v>
      </c>
      <c r="AF300" s="962"/>
      <c r="AG300" s="285"/>
      <c r="AH300" s="285"/>
      <c r="AI300" s="285">
        <f t="shared" si="165"/>
        <v>2184</v>
      </c>
      <c r="AJ300" s="285"/>
      <c r="AK300" s="285">
        <f t="shared" si="166"/>
        <v>2184</v>
      </c>
      <c r="AL300" s="805"/>
      <c r="AM300" s="805"/>
      <c r="AN300" s="285"/>
      <c r="AO300" s="285"/>
      <c r="AP300" s="805"/>
      <c r="AQ300" s="285">
        <f t="shared" si="167"/>
        <v>2184</v>
      </c>
      <c r="AR300" s="285"/>
      <c r="AS300" s="285"/>
      <c r="AT300" s="285"/>
      <c r="AU300" s="805"/>
      <c r="AV300" s="805"/>
      <c r="AW300" s="805"/>
      <c r="AX300" s="805"/>
      <c r="AY300" s="805"/>
      <c r="AZ300" s="805">
        <f t="shared" si="168"/>
        <v>364</v>
      </c>
      <c r="BA300" s="805"/>
      <c r="BB300" s="805"/>
      <c r="BC300" s="968"/>
      <c r="BD300" s="805"/>
      <c r="BE300" s="805"/>
      <c r="BF300" s="805"/>
      <c r="BG300" s="805"/>
      <c r="BH300" s="805"/>
      <c r="BI300" s="805"/>
      <c r="BJ300" s="805"/>
      <c r="BK300" s="805"/>
      <c r="BL300" s="805"/>
      <c r="BM300" s="805"/>
      <c r="BN300" s="805"/>
      <c r="BO300" s="805"/>
      <c r="BP300" s="805"/>
      <c r="BQ300" s="805"/>
      <c r="BR300" s="805"/>
      <c r="BS300" s="291">
        <f t="shared" si="169"/>
        <v>2184</v>
      </c>
      <c r="BT300" s="291">
        <f t="shared" si="172"/>
        <v>2687544</v>
      </c>
      <c r="BU300" s="291"/>
      <c r="BV300" s="291"/>
      <c r="BW300" s="291"/>
      <c r="BX300" s="291"/>
      <c r="BY300" s="805">
        <f t="shared" si="170"/>
        <v>132456</v>
      </c>
      <c r="BZ300" s="805"/>
      <c r="CA300" s="805">
        <f t="shared" si="171"/>
        <v>0</v>
      </c>
      <c r="CB300" s="291">
        <f t="shared" si="173"/>
        <v>0</v>
      </c>
      <c r="CC300" s="291"/>
      <c r="CD300" s="291"/>
      <c r="CE300" s="291"/>
      <c r="CF300" s="291"/>
      <c r="CG300" s="291"/>
    </row>
    <row r="301" s="806" customFormat="1" ht="32" hidden="1" customHeight="1" spans="1:85">
      <c r="A301" s="977">
        <v>46077</v>
      </c>
      <c r="B301" s="983" t="s">
        <v>1994</v>
      </c>
      <c r="C301" s="984" t="s">
        <v>1995</v>
      </c>
      <c r="D301" s="806">
        <v>4500194073</v>
      </c>
      <c r="E301" s="984" t="s">
        <v>2150</v>
      </c>
      <c r="F301" s="806" t="s">
        <v>2151</v>
      </c>
      <c r="G301" s="981" t="s">
        <v>1181</v>
      </c>
      <c r="H301" s="982" t="s">
        <v>1140</v>
      </c>
      <c r="I301" s="982">
        <v>6006</v>
      </c>
      <c r="J301" s="982">
        <v>0</v>
      </c>
      <c r="K301" s="982">
        <v>13</v>
      </c>
      <c r="L301" s="1004">
        <f t="shared" si="162"/>
        <v>462</v>
      </c>
      <c r="M301" s="1008">
        <v>46119</v>
      </c>
      <c r="N301" s="1008">
        <v>46115</v>
      </c>
      <c r="O301" s="1006"/>
      <c r="P301" s="1007"/>
      <c r="Q301" s="981"/>
      <c r="R301" s="1022"/>
      <c r="S301" s="981"/>
      <c r="T301" s="1027"/>
      <c r="U301" s="1021" t="s">
        <v>2152</v>
      </c>
      <c r="V301" s="1005" t="s">
        <v>328</v>
      </c>
      <c r="W301" s="1026">
        <v>1.9004</v>
      </c>
      <c r="X301" s="1025">
        <f t="shared" si="163"/>
        <v>11413.8024</v>
      </c>
      <c r="Y301" s="981"/>
      <c r="Z301" s="981"/>
      <c r="AA301" s="981"/>
      <c r="AB301" s="1036"/>
      <c r="AC301" s="981"/>
      <c r="AD301" s="981"/>
      <c r="AE301" s="1037"/>
      <c r="AF301" s="1038"/>
      <c r="AG301" s="981"/>
      <c r="AH301" s="981"/>
      <c r="AI301" s="981"/>
      <c r="AJ301" s="981"/>
      <c r="AK301" s="981"/>
      <c r="AN301" s="981"/>
      <c r="AO301" s="981"/>
      <c r="AQ301" s="981"/>
      <c r="AR301" s="981"/>
      <c r="AS301" s="981"/>
      <c r="AT301" s="981"/>
      <c r="BC301" s="1043"/>
      <c r="BS301" s="1051">
        <f t="shared" si="169"/>
        <v>0</v>
      </c>
      <c r="BT301" s="1051">
        <f t="shared" si="172"/>
        <v>2687544</v>
      </c>
      <c r="BU301" s="1050"/>
      <c r="BV301" s="1050"/>
      <c r="BW301" s="1050"/>
      <c r="BX301" s="1050"/>
      <c r="CB301" s="1050"/>
      <c r="CC301" s="1050"/>
      <c r="CD301" s="1050"/>
      <c r="CE301" s="1050"/>
      <c r="CF301" s="1050"/>
      <c r="CG301" s="1050"/>
    </row>
    <row r="302" s="806" customFormat="1" ht="32" customHeight="1" spans="1:85">
      <c r="A302" s="977">
        <v>46063</v>
      </c>
      <c r="B302" s="983" t="s">
        <v>1871</v>
      </c>
      <c r="C302" s="984" t="s">
        <v>1374</v>
      </c>
      <c r="D302" s="985">
        <v>4500193377</v>
      </c>
      <c r="E302" s="984"/>
      <c r="F302" s="985" t="s">
        <v>2153</v>
      </c>
      <c r="G302" s="981" t="s">
        <v>1155</v>
      </c>
      <c r="H302" s="982" t="s">
        <v>1140</v>
      </c>
      <c r="I302" s="1003">
        <v>500</v>
      </c>
      <c r="J302" s="982">
        <v>0</v>
      </c>
      <c r="K302" s="982">
        <v>50</v>
      </c>
      <c r="L302" s="1004">
        <f>I302/K302</f>
        <v>10</v>
      </c>
      <c r="M302" s="1008">
        <v>46125</v>
      </c>
      <c r="N302" s="1008">
        <v>46121</v>
      </c>
      <c r="O302" s="1006"/>
      <c r="P302" s="1007"/>
      <c r="Q302" s="981"/>
      <c r="R302" s="1022"/>
      <c r="S302" s="981"/>
      <c r="T302" s="1028"/>
      <c r="U302" s="1021" t="s">
        <v>2154</v>
      </c>
      <c r="V302" s="1005" t="s">
        <v>328</v>
      </c>
      <c r="W302" s="1026">
        <v>1.9438</v>
      </c>
      <c r="X302" s="1025">
        <f>I302*W302</f>
        <v>971.9</v>
      </c>
      <c r="Y302" s="981"/>
      <c r="Z302" s="981"/>
      <c r="AA302" s="981"/>
      <c r="AB302" s="1036"/>
      <c r="AC302" s="981"/>
      <c r="AD302" s="981"/>
      <c r="AE302" s="1037"/>
      <c r="AF302" s="1038"/>
      <c r="AG302" s="981"/>
      <c r="AH302" s="981"/>
      <c r="AI302" s="982">
        <f>I302*2</f>
        <v>1000</v>
      </c>
      <c r="AJ302" s="981"/>
      <c r="AK302" s="981"/>
      <c r="AN302" s="981"/>
      <c r="AO302" s="981"/>
      <c r="AQ302" s="981"/>
      <c r="AR302" s="981"/>
      <c r="AS302" s="981"/>
      <c r="AT302" s="981"/>
      <c r="BC302" s="1043"/>
      <c r="BS302" s="1051"/>
      <c r="BT302" s="1051"/>
      <c r="BU302" s="1050"/>
      <c r="BV302" s="1050"/>
      <c r="BW302" s="1050"/>
      <c r="BX302" s="1050"/>
      <c r="CB302" s="1050"/>
      <c r="CC302" s="1050"/>
      <c r="CD302" s="1050"/>
      <c r="CE302" s="1050"/>
      <c r="CF302" s="1050"/>
      <c r="CG302" s="1050"/>
    </row>
    <row r="303" s="807" customFormat="1" ht="32" hidden="1" customHeight="1" spans="1:85">
      <c r="A303" s="909">
        <v>46058</v>
      </c>
      <c r="B303" s="910" t="s">
        <v>715</v>
      </c>
      <c r="C303" s="911" t="s">
        <v>716</v>
      </c>
      <c r="D303" s="912">
        <v>4500193215</v>
      </c>
      <c r="E303" s="910" t="s">
        <v>2155</v>
      </c>
      <c r="F303" s="912" t="s">
        <v>2156</v>
      </c>
      <c r="G303" s="285" t="s">
        <v>1147</v>
      </c>
      <c r="H303" s="285" t="s">
        <v>1148</v>
      </c>
      <c r="I303" s="285">
        <v>12</v>
      </c>
      <c r="J303" s="285">
        <v>0</v>
      </c>
      <c r="K303" s="285">
        <v>12</v>
      </c>
      <c r="L303" s="931">
        <f>I303/K303</f>
        <v>1</v>
      </c>
      <c r="M303" s="932">
        <v>46127</v>
      </c>
      <c r="N303" s="932">
        <v>46123</v>
      </c>
      <c r="O303" s="933"/>
      <c r="P303" s="934"/>
      <c r="Q303" s="285"/>
      <c r="R303" s="945">
        <v>46058</v>
      </c>
      <c r="S303" s="945" t="s">
        <v>48</v>
      </c>
      <c r="T303" s="945" t="s">
        <v>2102</v>
      </c>
      <c r="U303" s="946" t="s">
        <v>2103</v>
      </c>
      <c r="V303" s="932" t="s">
        <v>721</v>
      </c>
      <c r="W303" s="946">
        <v>4.0025</v>
      </c>
      <c r="X303" s="947">
        <f>I303*W303</f>
        <v>48.03</v>
      </c>
      <c r="Y303" s="285"/>
      <c r="Z303" s="285" t="s">
        <v>1709</v>
      </c>
      <c r="AA303" s="285"/>
      <c r="AB303" s="961"/>
      <c r="AC303" s="285"/>
      <c r="AD303" s="285"/>
      <c r="AE303" s="895">
        <f>AD303-I303</f>
        <v>-12</v>
      </c>
      <c r="AF303" s="962"/>
      <c r="AG303" s="285"/>
      <c r="AH303" s="285"/>
      <c r="AI303" s="285">
        <f>I303*2</f>
        <v>24</v>
      </c>
      <c r="AJ303" s="285"/>
      <c r="AK303" s="968"/>
      <c r="AL303" s="805"/>
      <c r="AM303" s="805">
        <f>I303*2</f>
        <v>24</v>
      </c>
      <c r="AN303" s="285"/>
      <c r="AO303" s="285"/>
      <c r="AP303" s="805"/>
      <c r="AQ303" s="285">
        <f>I303*2</f>
        <v>24</v>
      </c>
      <c r="AR303" s="285"/>
      <c r="AS303" s="285"/>
      <c r="AT303" s="285"/>
      <c r="AU303" s="805"/>
      <c r="AV303" s="805"/>
      <c r="AW303" s="805"/>
      <c r="AX303" s="805"/>
      <c r="AY303" s="805"/>
      <c r="AZ303" s="805"/>
      <c r="BA303" s="805"/>
      <c r="BB303" s="805"/>
      <c r="BC303" s="968"/>
      <c r="BD303" s="805"/>
      <c r="BE303" s="805"/>
      <c r="BF303" s="805"/>
      <c r="BG303" s="805"/>
      <c r="BH303" s="805"/>
      <c r="BI303" s="805"/>
      <c r="BJ303" s="805"/>
      <c r="BK303" s="805"/>
      <c r="BL303" s="805">
        <f>I303</f>
        <v>12</v>
      </c>
      <c r="BM303" s="805"/>
      <c r="BN303" s="805">
        <f>I303</f>
        <v>12</v>
      </c>
      <c r="BO303" s="805">
        <f>I303</f>
        <v>12</v>
      </c>
      <c r="BP303" s="805"/>
      <c r="BQ303" s="805"/>
      <c r="BR303" s="805"/>
      <c r="BS303" s="291">
        <f>AI303+AJ303</f>
        <v>24</v>
      </c>
      <c r="BT303" s="291">
        <f>BT299+BS303</f>
        <v>2685384</v>
      </c>
      <c r="BU303" s="291"/>
      <c r="BV303" s="291"/>
      <c r="BW303" s="291"/>
      <c r="BX303" s="291"/>
      <c r="BY303" s="805">
        <f>SUM(BV$1:BZ$1)-BT303</f>
        <v>134616</v>
      </c>
      <c r="BZ303" s="805"/>
      <c r="CA303" s="805">
        <f>AU303+AV303+BC303+BD303</f>
        <v>0</v>
      </c>
      <c r="CB303" s="291">
        <f>CB298+CA303</f>
        <v>0</v>
      </c>
      <c r="CC303" s="291"/>
      <c r="CD303" s="291"/>
      <c r="CE303" s="291"/>
      <c r="CF303" s="291"/>
      <c r="CG303" s="291"/>
    </row>
    <row r="304" s="807" customFormat="1" ht="32" hidden="1" customHeight="1" spans="1:85">
      <c r="A304" s="909">
        <v>46058</v>
      </c>
      <c r="B304" s="910" t="s">
        <v>715</v>
      </c>
      <c r="C304" s="911" t="s">
        <v>716</v>
      </c>
      <c r="D304" s="912">
        <v>4500193215</v>
      </c>
      <c r="E304" s="910" t="s">
        <v>2157</v>
      </c>
      <c r="F304" s="912" t="s">
        <v>2158</v>
      </c>
      <c r="G304" s="285" t="s">
        <v>1147</v>
      </c>
      <c r="H304" s="285" t="s">
        <v>1148</v>
      </c>
      <c r="I304" s="285">
        <v>48</v>
      </c>
      <c r="J304" s="285">
        <v>0</v>
      </c>
      <c r="K304" s="285">
        <v>12</v>
      </c>
      <c r="L304" s="931">
        <f>I304/K304</f>
        <v>4</v>
      </c>
      <c r="M304" s="932">
        <v>46127</v>
      </c>
      <c r="N304" s="932">
        <v>46123</v>
      </c>
      <c r="O304" s="933"/>
      <c r="P304" s="934"/>
      <c r="Q304" s="285"/>
      <c r="R304" s="945">
        <v>46058</v>
      </c>
      <c r="S304" s="945" t="s">
        <v>48</v>
      </c>
      <c r="T304" s="945" t="s">
        <v>2102</v>
      </c>
      <c r="U304" s="946" t="s">
        <v>2103</v>
      </c>
      <c r="V304" s="932" t="s">
        <v>721</v>
      </c>
      <c r="W304" s="946">
        <v>4.0025</v>
      </c>
      <c r="X304" s="947">
        <f>I304*W304</f>
        <v>192.12</v>
      </c>
      <c r="Y304" s="285"/>
      <c r="Z304" s="285" t="s">
        <v>1709</v>
      </c>
      <c r="AA304" s="285"/>
      <c r="AB304" s="961"/>
      <c r="AC304" s="285"/>
      <c r="AD304" s="285"/>
      <c r="AE304" s="895">
        <f>AD304-I304</f>
        <v>-48</v>
      </c>
      <c r="AF304" s="962"/>
      <c r="AG304" s="285"/>
      <c r="AH304" s="285"/>
      <c r="AI304" s="285">
        <f>I304*2</f>
        <v>96</v>
      </c>
      <c r="AJ304" s="285"/>
      <c r="AK304" s="968"/>
      <c r="AL304" s="805"/>
      <c r="AM304" s="805">
        <f>I304*2</f>
        <v>96</v>
      </c>
      <c r="AN304" s="285"/>
      <c r="AO304" s="285"/>
      <c r="AP304" s="805"/>
      <c r="AQ304" s="285">
        <f>I304*2</f>
        <v>96</v>
      </c>
      <c r="AR304" s="285"/>
      <c r="AS304" s="285"/>
      <c r="AT304" s="285"/>
      <c r="AU304" s="805"/>
      <c r="AV304" s="805"/>
      <c r="AW304" s="805"/>
      <c r="AX304" s="805"/>
      <c r="AY304" s="805"/>
      <c r="AZ304" s="805"/>
      <c r="BA304" s="805"/>
      <c r="BB304" s="805"/>
      <c r="BC304" s="968"/>
      <c r="BD304" s="805"/>
      <c r="BE304" s="805"/>
      <c r="BF304" s="805"/>
      <c r="BG304" s="805"/>
      <c r="BH304" s="805"/>
      <c r="BI304" s="805"/>
      <c r="BJ304" s="805"/>
      <c r="BK304" s="805"/>
      <c r="BL304" s="805">
        <f>I304</f>
        <v>48</v>
      </c>
      <c r="BM304" s="805"/>
      <c r="BN304" s="805">
        <f>I304</f>
        <v>48</v>
      </c>
      <c r="BO304" s="805">
        <f>I304</f>
        <v>48</v>
      </c>
      <c r="BP304" s="805"/>
      <c r="BQ304" s="805"/>
      <c r="BR304" s="805"/>
      <c r="BS304" s="291">
        <f>AI304+AJ304</f>
        <v>96</v>
      </c>
      <c r="BT304" s="291">
        <f>BT300+BS304</f>
        <v>2687640</v>
      </c>
      <c r="BU304" s="291"/>
      <c r="BV304" s="291"/>
      <c r="BW304" s="291"/>
      <c r="BX304" s="291"/>
      <c r="BY304" s="805">
        <f>SUM(BV$1:BZ$1)-BT304</f>
        <v>132360</v>
      </c>
      <c r="BZ304" s="805"/>
      <c r="CA304" s="805">
        <f>AU304+AV304+BC304+BD304</f>
        <v>0</v>
      </c>
      <c r="CB304" s="291">
        <f>CB299+CA304</f>
        <v>0</v>
      </c>
      <c r="CC304" s="291"/>
      <c r="CD304" s="291"/>
      <c r="CE304" s="291"/>
      <c r="CF304" s="291"/>
      <c r="CG304" s="291"/>
    </row>
    <row r="305" s="807" customFormat="1" ht="32" hidden="1" customHeight="1" spans="1:85">
      <c r="A305" s="909">
        <v>46058</v>
      </c>
      <c r="B305" s="910" t="s">
        <v>715</v>
      </c>
      <c r="C305" s="911" t="s">
        <v>716</v>
      </c>
      <c r="D305" s="912">
        <v>4500193215</v>
      </c>
      <c r="E305" s="910" t="s">
        <v>2159</v>
      </c>
      <c r="F305" s="912" t="s">
        <v>2160</v>
      </c>
      <c r="G305" s="285" t="s">
        <v>1147</v>
      </c>
      <c r="H305" s="285" t="s">
        <v>1148</v>
      </c>
      <c r="I305" s="285">
        <v>48</v>
      </c>
      <c r="J305" s="285">
        <v>0</v>
      </c>
      <c r="K305" s="285">
        <v>12</v>
      </c>
      <c r="L305" s="931">
        <f>I305/K305</f>
        <v>4</v>
      </c>
      <c r="M305" s="932">
        <v>46127</v>
      </c>
      <c r="N305" s="932">
        <v>46123</v>
      </c>
      <c r="O305" s="933"/>
      <c r="P305" s="934"/>
      <c r="Q305" s="285"/>
      <c r="R305" s="945">
        <v>46058</v>
      </c>
      <c r="S305" s="945" t="s">
        <v>48</v>
      </c>
      <c r="T305" s="945" t="s">
        <v>2102</v>
      </c>
      <c r="U305" s="946" t="s">
        <v>2103</v>
      </c>
      <c r="V305" s="932" t="s">
        <v>721</v>
      </c>
      <c r="W305" s="946">
        <v>4.0025</v>
      </c>
      <c r="X305" s="947">
        <f>I305*W305</f>
        <v>192.12</v>
      </c>
      <c r="Y305" s="285"/>
      <c r="Z305" s="285" t="s">
        <v>1709</v>
      </c>
      <c r="AA305" s="285"/>
      <c r="AB305" s="961"/>
      <c r="AC305" s="285"/>
      <c r="AD305" s="285"/>
      <c r="AE305" s="895">
        <f>AD305-I305</f>
        <v>-48</v>
      </c>
      <c r="AF305" s="962"/>
      <c r="AG305" s="285"/>
      <c r="AH305" s="285"/>
      <c r="AI305" s="285">
        <f>I305*2</f>
        <v>96</v>
      </c>
      <c r="AJ305" s="285"/>
      <c r="AK305" s="968"/>
      <c r="AL305" s="805"/>
      <c r="AM305" s="805">
        <f>I305*2</f>
        <v>96</v>
      </c>
      <c r="AN305" s="285"/>
      <c r="AO305" s="285"/>
      <c r="AP305" s="805"/>
      <c r="AQ305" s="285">
        <f>I305*2</f>
        <v>96</v>
      </c>
      <c r="AR305" s="285"/>
      <c r="AS305" s="285"/>
      <c r="AT305" s="285"/>
      <c r="AU305" s="805"/>
      <c r="AV305" s="805"/>
      <c r="AW305" s="805"/>
      <c r="AX305" s="805"/>
      <c r="AY305" s="805"/>
      <c r="AZ305" s="805"/>
      <c r="BA305" s="805"/>
      <c r="BB305" s="805"/>
      <c r="BC305" s="968"/>
      <c r="BD305" s="805"/>
      <c r="BE305" s="805"/>
      <c r="BF305" s="805"/>
      <c r="BG305" s="805"/>
      <c r="BH305" s="805"/>
      <c r="BI305" s="805"/>
      <c r="BJ305" s="805"/>
      <c r="BK305" s="805"/>
      <c r="BL305" s="805">
        <f>I305</f>
        <v>48</v>
      </c>
      <c r="BM305" s="805"/>
      <c r="BN305" s="805">
        <f>I305</f>
        <v>48</v>
      </c>
      <c r="BO305" s="805">
        <f>I305</f>
        <v>48</v>
      </c>
      <c r="BP305" s="805"/>
      <c r="BQ305" s="805"/>
      <c r="BR305" s="805"/>
      <c r="BS305" s="291">
        <f>AI305+AJ305</f>
        <v>96</v>
      </c>
      <c r="BT305" s="291">
        <f>BT303+BS305</f>
        <v>2685480</v>
      </c>
      <c r="BU305" s="291"/>
      <c r="BV305" s="291"/>
      <c r="BW305" s="291"/>
      <c r="BX305" s="291"/>
      <c r="BY305" s="805">
        <f>SUM(BV$1:BZ$1)-BT305</f>
        <v>134520</v>
      </c>
      <c r="BZ305" s="805"/>
      <c r="CA305" s="805">
        <f>AU305+AV305+BC305+BD305</f>
        <v>0</v>
      </c>
      <c r="CB305" s="291">
        <f>CB300+CA305</f>
        <v>0</v>
      </c>
      <c r="CC305" s="291"/>
      <c r="CD305" s="291"/>
      <c r="CE305" s="291"/>
      <c r="CF305" s="291"/>
      <c r="CG305" s="291"/>
    </row>
    <row r="306" s="807" customFormat="1" ht="32" hidden="1" customHeight="1" spans="1:85">
      <c r="A306" s="909">
        <v>46058</v>
      </c>
      <c r="B306" s="910" t="s">
        <v>715</v>
      </c>
      <c r="C306" s="911" t="s">
        <v>716</v>
      </c>
      <c r="D306" s="912">
        <v>4500193215</v>
      </c>
      <c r="E306" s="910" t="s">
        <v>2161</v>
      </c>
      <c r="F306" s="912" t="s">
        <v>2162</v>
      </c>
      <c r="G306" s="285" t="s">
        <v>1147</v>
      </c>
      <c r="H306" s="285" t="s">
        <v>1148</v>
      </c>
      <c r="I306" s="285">
        <v>12</v>
      </c>
      <c r="J306" s="285">
        <v>0</v>
      </c>
      <c r="K306" s="285">
        <v>12</v>
      </c>
      <c r="L306" s="931">
        <f>I306/K306</f>
        <v>1</v>
      </c>
      <c r="M306" s="932">
        <v>46127</v>
      </c>
      <c r="N306" s="932">
        <v>46123</v>
      </c>
      <c r="O306" s="933"/>
      <c r="P306" s="934"/>
      <c r="Q306" s="285"/>
      <c r="R306" s="945">
        <v>46058</v>
      </c>
      <c r="S306" s="945" t="s">
        <v>48</v>
      </c>
      <c r="T306" s="945" t="s">
        <v>2102</v>
      </c>
      <c r="U306" s="946" t="s">
        <v>2103</v>
      </c>
      <c r="V306" s="932" t="s">
        <v>721</v>
      </c>
      <c r="W306" s="946">
        <v>4.0406</v>
      </c>
      <c r="X306" s="947">
        <f>I306*W306</f>
        <v>48.4872</v>
      </c>
      <c r="Y306" s="285"/>
      <c r="Z306" s="285" t="s">
        <v>1709</v>
      </c>
      <c r="AA306" s="285"/>
      <c r="AB306" s="961"/>
      <c r="AC306" s="285"/>
      <c r="AD306" s="285"/>
      <c r="AE306" s="895">
        <f>AD306-I306</f>
        <v>-12</v>
      </c>
      <c r="AF306" s="962"/>
      <c r="AG306" s="285"/>
      <c r="AH306" s="285"/>
      <c r="AI306" s="285">
        <f>I306*2</f>
        <v>24</v>
      </c>
      <c r="AJ306" s="285"/>
      <c r="AK306" s="968"/>
      <c r="AL306" s="805"/>
      <c r="AM306" s="805">
        <f>I306*2</f>
        <v>24</v>
      </c>
      <c r="AN306" s="285"/>
      <c r="AO306" s="285"/>
      <c r="AP306" s="805"/>
      <c r="AQ306" s="285">
        <f>I306*2</f>
        <v>24</v>
      </c>
      <c r="AR306" s="285"/>
      <c r="AS306" s="285"/>
      <c r="AT306" s="285"/>
      <c r="AU306" s="805"/>
      <c r="AV306" s="805"/>
      <c r="AW306" s="805"/>
      <c r="AX306" s="805"/>
      <c r="AY306" s="805"/>
      <c r="AZ306" s="805"/>
      <c r="BA306" s="805"/>
      <c r="BB306" s="805"/>
      <c r="BC306" s="968"/>
      <c r="BD306" s="805"/>
      <c r="BE306" s="805"/>
      <c r="BF306" s="805"/>
      <c r="BG306" s="805"/>
      <c r="BH306" s="805"/>
      <c r="BI306" s="805"/>
      <c r="BJ306" s="805"/>
      <c r="BK306" s="805"/>
      <c r="BL306" s="805">
        <f>I306</f>
        <v>12</v>
      </c>
      <c r="BM306" s="805"/>
      <c r="BN306" s="805">
        <f>I306</f>
        <v>12</v>
      </c>
      <c r="BO306" s="805">
        <f>I306</f>
        <v>12</v>
      </c>
      <c r="BP306" s="805"/>
      <c r="BQ306" s="805"/>
      <c r="BR306" s="805"/>
      <c r="BS306" s="291">
        <f>AI306+AJ306</f>
        <v>24</v>
      </c>
      <c r="BT306" s="291">
        <f>BT304+BS306</f>
        <v>2687664</v>
      </c>
      <c r="BU306" s="291"/>
      <c r="BV306" s="291"/>
      <c r="BW306" s="291"/>
      <c r="BX306" s="291"/>
      <c r="BY306" s="805">
        <f>SUM(BV$1:BZ$1)-BT306</f>
        <v>132336</v>
      </c>
      <c r="BZ306" s="805"/>
      <c r="CA306" s="805">
        <f>AU306+AV306+BC306+BD306</f>
        <v>0</v>
      </c>
      <c r="CB306" s="291">
        <f>CB303+CA306</f>
        <v>0</v>
      </c>
      <c r="CC306" s="291"/>
      <c r="CD306" s="291"/>
      <c r="CE306" s="291"/>
      <c r="CF306" s="291"/>
      <c r="CG306" s="291"/>
    </row>
    <row r="307" s="807" customFormat="1" ht="32" hidden="1" customHeight="1" spans="1:85">
      <c r="A307" s="909">
        <v>46058</v>
      </c>
      <c r="B307" s="910" t="s">
        <v>715</v>
      </c>
      <c r="C307" s="911" t="s">
        <v>716</v>
      </c>
      <c r="D307" s="912">
        <v>4500193215</v>
      </c>
      <c r="E307" s="910" t="s">
        <v>2163</v>
      </c>
      <c r="F307" s="912" t="s">
        <v>2164</v>
      </c>
      <c r="G307" s="285" t="s">
        <v>1147</v>
      </c>
      <c r="H307" s="285" t="s">
        <v>1148</v>
      </c>
      <c r="I307" s="285">
        <v>108</v>
      </c>
      <c r="J307" s="285">
        <v>0</v>
      </c>
      <c r="K307" s="285">
        <v>12</v>
      </c>
      <c r="L307" s="931">
        <f>I307/K307</f>
        <v>9</v>
      </c>
      <c r="M307" s="932">
        <v>46127</v>
      </c>
      <c r="N307" s="932">
        <v>46123</v>
      </c>
      <c r="O307" s="933"/>
      <c r="P307" s="934"/>
      <c r="Q307" s="285"/>
      <c r="R307" s="945">
        <v>46058</v>
      </c>
      <c r="S307" s="945" t="s">
        <v>48</v>
      </c>
      <c r="T307" s="945" t="s">
        <v>2102</v>
      </c>
      <c r="U307" s="946" t="s">
        <v>2103</v>
      </c>
      <c r="V307" s="932" t="s">
        <v>721</v>
      </c>
      <c r="W307" s="946">
        <v>4.0406</v>
      </c>
      <c r="X307" s="947">
        <f>I307*W307</f>
        <v>436.3848</v>
      </c>
      <c r="Y307" s="285"/>
      <c r="Z307" s="285" t="s">
        <v>1709</v>
      </c>
      <c r="AA307" s="285"/>
      <c r="AB307" s="961"/>
      <c r="AC307" s="285"/>
      <c r="AD307" s="285"/>
      <c r="AE307" s="895">
        <f>AD307-I307</f>
        <v>-108</v>
      </c>
      <c r="AF307" s="962"/>
      <c r="AG307" s="285"/>
      <c r="AH307" s="285"/>
      <c r="AI307" s="285">
        <f>I307*2</f>
        <v>216</v>
      </c>
      <c r="AJ307" s="285"/>
      <c r="AK307" s="968"/>
      <c r="AL307" s="805"/>
      <c r="AM307" s="805">
        <f>I307*2</f>
        <v>216</v>
      </c>
      <c r="AN307" s="285"/>
      <c r="AO307" s="285"/>
      <c r="AP307" s="805"/>
      <c r="AQ307" s="285">
        <f>I307*2</f>
        <v>216</v>
      </c>
      <c r="AR307" s="285"/>
      <c r="AS307" s="285"/>
      <c r="AT307" s="285"/>
      <c r="AU307" s="805"/>
      <c r="AV307" s="805"/>
      <c r="AW307" s="805"/>
      <c r="AX307" s="805"/>
      <c r="AY307" s="805"/>
      <c r="AZ307" s="805"/>
      <c r="BA307" s="805"/>
      <c r="BB307" s="805"/>
      <c r="BC307" s="968"/>
      <c r="BD307" s="805"/>
      <c r="BE307" s="805"/>
      <c r="BF307" s="805"/>
      <c r="BG307" s="805"/>
      <c r="BH307" s="805"/>
      <c r="BI307" s="805"/>
      <c r="BJ307" s="805"/>
      <c r="BK307" s="805"/>
      <c r="BL307" s="805">
        <f>I307</f>
        <v>108</v>
      </c>
      <c r="BM307" s="805"/>
      <c r="BN307" s="805">
        <f>I307</f>
        <v>108</v>
      </c>
      <c r="BO307" s="805">
        <f>I307</f>
        <v>108</v>
      </c>
      <c r="BP307" s="805"/>
      <c r="BQ307" s="805"/>
      <c r="BR307" s="805"/>
      <c r="BS307" s="291">
        <f>AI307+AJ307</f>
        <v>216</v>
      </c>
      <c r="BT307" s="291">
        <f>BT305+BS307</f>
        <v>2685696</v>
      </c>
      <c r="BU307" s="291"/>
      <c r="BV307" s="291"/>
      <c r="BW307" s="291"/>
      <c r="BX307" s="291"/>
      <c r="BY307" s="805">
        <f>SUM(BV$1:BZ$1)-BT307</f>
        <v>134304</v>
      </c>
      <c r="BZ307" s="805"/>
      <c r="CA307" s="805">
        <f>AU307+AV307+BC307+BD307</f>
        <v>0</v>
      </c>
      <c r="CB307" s="291">
        <f>CB304+CA307</f>
        <v>0</v>
      </c>
      <c r="CC307" s="291"/>
      <c r="CD307" s="291"/>
      <c r="CE307" s="291"/>
      <c r="CF307" s="291"/>
      <c r="CG307" s="291"/>
    </row>
    <row r="308" s="806" customFormat="1" ht="32" hidden="1" customHeight="1" spans="1:85">
      <c r="A308" s="977">
        <v>46065</v>
      </c>
      <c r="B308" s="978" t="s">
        <v>1255</v>
      </c>
      <c r="C308" s="984" t="s">
        <v>84</v>
      </c>
      <c r="D308" s="980">
        <v>4500193772</v>
      </c>
      <c r="E308" s="978">
        <v>272593</v>
      </c>
      <c r="F308" s="980" t="s">
        <v>2165</v>
      </c>
      <c r="G308" s="981" t="s">
        <v>1147</v>
      </c>
      <c r="H308" s="981" t="s">
        <v>1148</v>
      </c>
      <c r="I308" s="981">
        <v>2196</v>
      </c>
      <c r="J308" s="981">
        <v>0</v>
      </c>
      <c r="K308" s="981">
        <v>12</v>
      </c>
      <c r="L308" s="1009">
        <f>I308/K308</f>
        <v>183</v>
      </c>
      <c r="M308" s="1005">
        <v>46129</v>
      </c>
      <c r="N308" s="1005">
        <v>46120</v>
      </c>
      <c r="O308" s="1006"/>
      <c r="P308" s="1007"/>
      <c r="Q308" s="981"/>
      <c r="R308" s="1022"/>
      <c r="S308" s="1022"/>
      <c r="T308" s="1022"/>
      <c r="U308" s="1021" t="s">
        <v>2166</v>
      </c>
      <c r="V308" s="1005" t="s">
        <v>1260</v>
      </c>
      <c r="W308" s="1021">
        <v>2.3946</v>
      </c>
      <c r="X308" s="1029">
        <f>I308*W308</f>
        <v>5258.5416</v>
      </c>
      <c r="Y308" s="981"/>
      <c r="Z308" s="981"/>
      <c r="AA308" s="981"/>
      <c r="AB308" s="1036"/>
      <c r="AC308" s="981"/>
      <c r="AD308" s="981"/>
      <c r="AE308" s="1037"/>
      <c r="AF308" s="1038"/>
      <c r="AG308" s="981"/>
      <c r="AH308" s="981"/>
      <c r="AI308" s="981">
        <f>I308*2</f>
        <v>4392</v>
      </c>
      <c r="AJ308" s="981"/>
      <c r="AK308" s="1043"/>
      <c r="AL308" s="806"/>
      <c r="AM308" s="806"/>
      <c r="AN308" s="981"/>
      <c r="AO308" s="981"/>
      <c r="AP308" s="806"/>
      <c r="AQ308" s="981"/>
      <c r="AR308" s="981"/>
      <c r="AS308" s="981"/>
      <c r="AT308" s="981"/>
      <c r="AU308" s="806"/>
      <c r="AV308" s="806"/>
      <c r="AW308" s="806"/>
      <c r="AX308" s="806"/>
      <c r="AY308" s="806"/>
      <c r="AZ308" s="806"/>
      <c r="BA308" s="806"/>
      <c r="BB308" s="806"/>
      <c r="BC308" s="1043"/>
      <c r="BD308" s="806"/>
      <c r="BE308" s="806"/>
      <c r="BF308" s="806"/>
      <c r="BG308" s="806"/>
      <c r="BH308" s="806"/>
      <c r="BI308" s="806"/>
      <c r="BJ308" s="806"/>
      <c r="BK308" s="806"/>
      <c r="BL308" s="806"/>
      <c r="BM308" s="806"/>
      <c r="BN308" s="806"/>
      <c r="BO308" s="806"/>
      <c r="BP308" s="806"/>
      <c r="BQ308" s="806"/>
      <c r="BR308" s="806"/>
      <c r="BS308" s="1050"/>
      <c r="BT308" s="1050"/>
      <c r="BU308" s="1050"/>
      <c r="BV308" s="1050"/>
      <c r="BW308" s="1050"/>
      <c r="BX308" s="1050"/>
      <c r="BY308" s="806"/>
      <c r="BZ308" s="806"/>
      <c r="CA308" s="806"/>
      <c r="CB308" s="1050"/>
      <c r="CC308" s="1050"/>
      <c r="CD308" s="1050"/>
      <c r="CE308" s="1050"/>
      <c r="CF308" s="1050"/>
      <c r="CG308" s="1050"/>
    </row>
    <row r="309" s="806" customFormat="1" ht="32" hidden="1" customHeight="1" spans="1:85">
      <c r="A309" s="977">
        <v>46065</v>
      </c>
      <c r="B309" s="978" t="s">
        <v>1255</v>
      </c>
      <c r="C309" s="984" t="s">
        <v>84</v>
      </c>
      <c r="D309" s="980">
        <v>4500193773</v>
      </c>
      <c r="E309" s="978">
        <v>272597</v>
      </c>
      <c r="F309" s="980" t="s">
        <v>2167</v>
      </c>
      <c r="G309" s="981" t="s">
        <v>1147</v>
      </c>
      <c r="H309" s="981" t="s">
        <v>1148</v>
      </c>
      <c r="I309" s="1010">
        <v>2400</v>
      </c>
      <c r="J309" s="981">
        <v>0</v>
      </c>
      <c r="K309" s="981">
        <v>12</v>
      </c>
      <c r="L309" s="1009">
        <f>I309/K309</f>
        <v>200</v>
      </c>
      <c r="M309" s="1005">
        <v>46129</v>
      </c>
      <c r="N309" s="1005">
        <v>46120</v>
      </c>
      <c r="O309" s="1006"/>
      <c r="P309" s="1007"/>
      <c r="Q309" s="981"/>
      <c r="R309" s="1022"/>
      <c r="S309" s="1022"/>
      <c r="T309" s="1022"/>
      <c r="U309" s="1021" t="s">
        <v>2168</v>
      </c>
      <c r="V309" s="1005" t="s">
        <v>1260</v>
      </c>
      <c r="W309" s="1021">
        <v>2.3946</v>
      </c>
      <c r="X309" s="1029">
        <f>I309*W309</f>
        <v>5747.04</v>
      </c>
      <c r="Y309" s="981"/>
      <c r="Z309" s="981"/>
      <c r="AA309" s="981"/>
      <c r="AB309" s="1036"/>
      <c r="AC309" s="981"/>
      <c r="AD309" s="981"/>
      <c r="AE309" s="1037"/>
      <c r="AF309" s="1038"/>
      <c r="AG309" s="981"/>
      <c r="AH309" s="981"/>
      <c r="AI309" s="981">
        <f>I309*2</f>
        <v>4800</v>
      </c>
      <c r="AJ309" s="981"/>
      <c r="AK309" s="1043"/>
      <c r="AN309" s="981"/>
      <c r="AO309" s="981"/>
      <c r="AQ309" s="981"/>
      <c r="AR309" s="981"/>
      <c r="AS309" s="981"/>
      <c r="AT309" s="981"/>
      <c r="BC309" s="1043"/>
      <c r="BS309" s="1050"/>
      <c r="BT309" s="1050"/>
      <c r="BU309" s="1050"/>
      <c r="BV309" s="1050"/>
      <c r="BW309" s="1050"/>
      <c r="BX309" s="1050"/>
      <c r="CB309" s="1050"/>
      <c r="CC309" s="1050"/>
      <c r="CD309" s="1050"/>
      <c r="CE309" s="1050"/>
      <c r="CF309" s="1050"/>
      <c r="CG309" s="1050"/>
    </row>
    <row r="310" s="805" customFormat="1" ht="32" hidden="1" customHeight="1" spans="1:85">
      <c r="A310" s="909">
        <v>45995</v>
      </c>
      <c r="B310" s="910" t="s">
        <v>1145</v>
      </c>
      <c r="C310" s="911" t="s">
        <v>84</v>
      </c>
      <c r="D310" s="912">
        <v>4500186354</v>
      </c>
      <c r="E310" s="910">
        <v>60260799</v>
      </c>
      <c r="F310" s="912" t="s">
        <v>2169</v>
      </c>
      <c r="G310" s="285" t="s">
        <v>1147</v>
      </c>
      <c r="H310" s="285" t="s">
        <v>1148</v>
      </c>
      <c r="I310" s="285">
        <v>2004</v>
      </c>
      <c r="J310" s="285">
        <v>0</v>
      </c>
      <c r="K310" s="285">
        <v>12</v>
      </c>
      <c r="L310" s="931">
        <f>I310/K310</f>
        <v>167</v>
      </c>
      <c r="M310" s="932">
        <v>46135</v>
      </c>
      <c r="N310" s="932">
        <v>46132</v>
      </c>
      <c r="O310" s="933"/>
      <c r="P310" s="934"/>
      <c r="Q310" s="285"/>
      <c r="R310" s="945">
        <v>45995</v>
      </c>
      <c r="S310" s="945" t="s">
        <v>58</v>
      </c>
      <c r="T310" s="945" t="s">
        <v>1150</v>
      </c>
      <c r="U310" s="946" t="s">
        <v>2170</v>
      </c>
      <c r="V310" s="932" t="s">
        <v>1788</v>
      </c>
      <c r="W310" s="946">
        <v>2.4174</v>
      </c>
      <c r="X310" s="947">
        <f>I310*W310</f>
        <v>4844.4696</v>
      </c>
      <c r="Y310" s="285"/>
      <c r="Z310" s="285" t="s">
        <v>1884</v>
      </c>
      <c r="AA310" s="285" t="s">
        <v>53</v>
      </c>
      <c r="AB310" s="961"/>
      <c r="AC310" s="285"/>
      <c r="AD310" s="285"/>
      <c r="AE310" s="895">
        <f>AD310-I310</f>
        <v>-2004</v>
      </c>
      <c r="AF310" s="962"/>
      <c r="AG310" s="285"/>
      <c r="AH310" s="285"/>
      <c r="AI310" s="285">
        <f>I310*2</f>
        <v>4008</v>
      </c>
      <c r="AJ310" s="285"/>
      <c r="AK310" s="968">
        <f>I310*2</f>
        <v>4008</v>
      </c>
      <c r="AN310" s="285"/>
      <c r="AO310" s="285"/>
      <c r="AP310" s="807"/>
      <c r="AQ310" s="285">
        <f>I310*2</f>
        <v>4008</v>
      </c>
      <c r="AR310" s="285"/>
      <c r="AS310" s="285"/>
      <c r="AT310" s="285"/>
      <c r="BC310" s="968"/>
      <c r="BL310" s="805">
        <f>I310</f>
        <v>2004</v>
      </c>
      <c r="BN310" s="805">
        <f>I310</f>
        <v>2004</v>
      </c>
      <c r="BO310" s="805">
        <f>I310</f>
        <v>2004</v>
      </c>
      <c r="BS310" s="291">
        <f>AI310+AJ310</f>
        <v>4008</v>
      </c>
      <c r="BT310" s="291">
        <f>BT285+BS310</f>
        <v>2677556</v>
      </c>
      <c r="BU310" s="291"/>
      <c r="BV310" s="291"/>
      <c r="BW310" s="291"/>
      <c r="BX310" s="291"/>
      <c r="BY310" s="805">
        <f>SUM(BV$1:BZ$1)-BT310</f>
        <v>142444</v>
      </c>
      <c r="CA310" s="805">
        <f>AU310+AV310+BC310+BD310</f>
        <v>0</v>
      </c>
      <c r="CB310" s="291">
        <f>CB285+CA310</f>
        <v>51036.5714285714</v>
      </c>
      <c r="CC310" s="291"/>
      <c r="CD310" s="291"/>
      <c r="CE310" s="291"/>
      <c r="CF310" s="291">
        <f>$CD$1+$CE$1+$CF$1+$CG$1-CB310</f>
        <v>8963.4285714286</v>
      </c>
      <c r="CG310" s="291"/>
    </row>
    <row r="311" s="805" customFormat="1" ht="32" hidden="1" customHeight="1" spans="1:85">
      <c r="A311" s="909">
        <v>45995</v>
      </c>
      <c r="B311" s="910" t="s">
        <v>1145</v>
      </c>
      <c r="C311" s="911" t="s">
        <v>84</v>
      </c>
      <c r="D311" s="912">
        <v>4500186375</v>
      </c>
      <c r="E311" s="910">
        <v>60260879</v>
      </c>
      <c r="F311" s="912" t="s">
        <v>2171</v>
      </c>
      <c r="G311" s="285" t="s">
        <v>1147</v>
      </c>
      <c r="H311" s="285" t="s">
        <v>1148</v>
      </c>
      <c r="I311" s="285">
        <v>2004</v>
      </c>
      <c r="J311" s="285">
        <v>0</v>
      </c>
      <c r="K311" s="285">
        <v>12</v>
      </c>
      <c r="L311" s="931">
        <f>I311/K311</f>
        <v>167</v>
      </c>
      <c r="M311" s="932">
        <v>46164</v>
      </c>
      <c r="N311" s="932">
        <v>46160</v>
      </c>
      <c r="O311" s="933"/>
      <c r="P311" s="934"/>
      <c r="Q311" s="285"/>
      <c r="R311" s="945">
        <v>45995</v>
      </c>
      <c r="S311" s="945" t="s">
        <v>58</v>
      </c>
      <c r="T311" s="945" t="s">
        <v>1150</v>
      </c>
      <c r="U311" s="946" t="s">
        <v>2172</v>
      </c>
      <c r="V311" s="932" t="s">
        <v>1788</v>
      </c>
      <c r="W311" s="946">
        <v>2.4174</v>
      </c>
      <c r="X311" s="947">
        <f>I311*W311</f>
        <v>4844.4696</v>
      </c>
      <c r="Y311" s="285"/>
      <c r="Z311" s="285" t="s">
        <v>1884</v>
      </c>
      <c r="AA311" s="285" t="s">
        <v>53</v>
      </c>
      <c r="AB311" s="961"/>
      <c r="AC311" s="285"/>
      <c r="AD311" s="285"/>
      <c r="AE311" s="895">
        <f>AD311-I311</f>
        <v>-2004</v>
      </c>
      <c r="AF311" s="962"/>
      <c r="AG311" s="285"/>
      <c r="AH311" s="285"/>
      <c r="AI311" s="285">
        <f>I311*2</f>
        <v>4008</v>
      </c>
      <c r="AJ311" s="285"/>
      <c r="AK311" s="968">
        <f>I311*2</f>
        <v>4008</v>
      </c>
      <c r="AN311" s="285"/>
      <c r="AO311" s="285"/>
      <c r="AP311" s="807"/>
      <c r="AQ311" s="285">
        <f>I311*2</f>
        <v>4008</v>
      </c>
      <c r="AR311" s="285"/>
      <c r="AS311" s="285"/>
      <c r="AT311" s="285"/>
      <c r="BC311" s="968"/>
      <c r="BL311" s="805">
        <f>I311</f>
        <v>2004</v>
      </c>
      <c r="BN311" s="805">
        <f>I311</f>
        <v>2004</v>
      </c>
      <c r="BO311" s="805">
        <f>I311</f>
        <v>2004</v>
      </c>
      <c r="BS311" s="291">
        <f>AI311+AJ311</f>
        <v>4008</v>
      </c>
      <c r="BT311" s="291">
        <f>BT310+BS311</f>
        <v>2681564</v>
      </c>
      <c r="BU311" s="291"/>
      <c r="BV311" s="291"/>
      <c r="BW311" s="291"/>
      <c r="BX311" s="291"/>
      <c r="BY311" s="805">
        <f>SUM(BV$1:BZ$1)-BT311</f>
        <v>138436</v>
      </c>
      <c r="CA311" s="805">
        <f>AU311+AV311+BC311+BD311</f>
        <v>0</v>
      </c>
      <c r="CB311" s="291">
        <f>CB310+CA311</f>
        <v>51036.5714285714</v>
      </c>
      <c r="CC311" s="291"/>
      <c r="CD311" s="291"/>
      <c r="CE311" s="291"/>
      <c r="CF311" s="291">
        <f>$CD$1+$CE$1+$CF$1+$CG$1-CB311</f>
        <v>8963.4285714286</v>
      </c>
      <c r="CG311" s="291"/>
    </row>
    <row r="312" s="808" customFormat="1" ht="31" hidden="1" customHeight="1" spans="1:85">
      <c r="A312" s="986"/>
      <c r="B312" s="987"/>
      <c r="C312" s="988"/>
      <c r="E312" s="916"/>
      <c r="G312" s="989"/>
      <c r="H312" s="916"/>
      <c r="I312" s="916"/>
      <c r="J312" s="916"/>
      <c r="K312" s="916"/>
      <c r="L312" s="1011"/>
      <c r="M312" s="1012"/>
      <c r="N312" s="1012"/>
      <c r="O312" s="1013"/>
      <c r="P312" s="1014"/>
      <c r="Q312" s="916"/>
      <c r="R312" s="1030"/>
      <c r="S312" s="1030"/>
      <c r="T312" s="1030"/>
      <c r="U312" s="1031"/>
      <c r="V312" s="1012"/>
      <c r="W312" s="1032"/>
      <c r="X312" s="1033"/>
      <c r="Y312" s="916"/>
      <c r="Z312" s="916"/>
      <c r="AA312" s="916"/>
      <c r="AB312" s="996"/>
      <c r="AC312" s="916"/>
      <c r="AD312" s="809"/>
      <c r="AE312" s="809"/>
      <c r="AF312" s="809"/>
      <c r="AG312" s="1044"/>
      <c r="AH312" s="916"/>
      <c r="AS312" s="285"/>
      <c r="BA312" s="805"/>
      <c r="BS312" s="291"/>
      <c r="BT312" s="291"/>
      <c r="BU312" s="291"/>
      <c r="BV312" s="291"/>
      <c r="BW312" s="291"/>
      <c r="BX312" s="291"/>
      <c r="BY312" s="805"/>
      <c r="BZ312" s="805"/>
      <c r="CA312" s="804"/>
      <c r="CB312" s="975"/>
      <c r="CC312" s="291"/>
      <c r="CD312" s="291"/>
      <c r="CE312" s="291"/>
      <c r="CF312" s="291"/>
      <c r="CG312" s="1052"/>
    </row>
    <row r="313" s="808" customFormat="1" ht="32" hidden="1" customHeight="1" spans="1:85">
      <c r="A313" s="990"/>
      <c r="B313" s="987"/>
      <c r="C313" s="988"/>
      <c r="E313" s="916"/>
      <c r="G313" s="989"/>
      <c r="H313" s="916"/>
      <c r="I313" s="916"/>
      <c r="J313" s="916"/>
      <c r="K313" s="916"/>
      <c r="L313" s="1011"/>
      <c r="M313" s="1012"/>
      <c r="N313" s="1012"/>
      <c r="O313" s="1013"/>
      <c r="P313" s="1014"/>
      <c r="Q313" s="916"/>
      <c r="R313" s="1030"/>
      <c r="S313" s="1030"/>
      <c r="T313" s="1030"/>
      <c r="U313" s="987"/>
      <c r="V313" s="1012"/>
      <c r="W313" s="1032"/>
      <c r="X313" s="1033"/>
      <c r="Y313" s="916" t="s">
        <v>2173</v>
      </c>
      <c r="Z313" s="916"/>
      <c r="AA313" s="916"/>
      <c r="AB313" s="996"/>
      <c r="AC313" s="916"/>
      <c r="AD313" s="809"/>
      <c r="AE313" s="809"/>
      <c r="AF313" s="809"/>
      <c r="AG313" s="1044"/>
      <c r="AH313" s="916"/>
      <c r="BS313" s="1052"/>
      <c r="BT313" s="1052"/>
      <c r="BU313" s="1052"/>
      <c r="BV313" s="1052"/>
      <c r="BW313" s="1052"/>
      <c r="BX313" s="1052"/>
      <c r="CB313" s="1052"/>
      <c r="CC313" s="1052"/>
      <c r="CD313" s="1052"/>
      <c r="CE313" s="1052"/>
      <c r="CF313" s="1052"/>
      <c r="CG313" s="1052"/>
    </row>
    <row r="314" s="809" customFormat="1" ht="31" customHeight="1" spans="1:110">
      <c r="A314" s="991"/>
      <c r="B314" s="992"/>
      <c r="C314" s="993"/>
      <c r="E314" s="994"/>
      <c r="G314" s="995"/>
      <c r="H314" s="996"/>
      <c r="I314" s="996"/>
      <c r="J314" s="996"/>
      <c r="K314" s="996"/>
      <c r="L314" s="1015"/>
      <c r="M314" s="1016"/>
      <c r="O314" s="1017"/>
      <c r="P314" s="994"/>
      <c r="Q314" s="1034"/>
      <c r="S314" s="1034"/>
      <c r="T314" s="1034"/>
      <c r="U314" s="1034"/>
      <c r="V314" s="1034"/>
      <c r="W314" s="1034"/>
      <c r="AA314" s="996"/>
      <c r="AB314" s="996"/>
      <c r="AC314" s="994"/>
      <c r="BF314" s="993"/>
      <c r="BG314" s="993"/>
      <c r="BH314" s="993"/>
      <c r="BI314" s="993"/>
      <c r="BJ314" s="993"/>
      <c r="BS314" s="889"/>
      <c r="BT314" s="889"/>
      <c r="BU314" s="889"/>
      <c r="BV314" s="889"/>
      <c r="BW314" s="889"/>
      <c r="BX314" s="889"/>
      <c r="CB314" s="889"/>
      <c r="CC314" s="889"/>
      <c r="CD314" s="1053"/>
      <c r="CE314" s="889"/>
      <c r="CF314" s="889"/>
      <c r="CG314" s="889"/>
      <c r="CK314" s="1055"/>
      <c r="CL314" s="1055"/>
      <c r="CM314" s="1055"/>
      <c r="CN314" s="1055"/>
      <c r="CO314" s="1055"/>
      <c r="CP314" s="1055"/>
      <c r="CQ314" s="1055"/>
      <c r="CR314" s="1055"/>
      <c r="CS314" s="1055"/>
      <c r="CT314" s="1055"/>
      <c r="CU314" s="1055"/>
      <c r="CV314" s="1055"/>
      <c r="CW314" s="1055"/>
      <c r="CX314" s="1055"/>
      <c r="CY314" s="1055"/>
      <c r="CZ314" s="1055"/>
      <c r="DA314" s="1055"/>
      <c r="DB314" s="1055"/>
      <c r="DC314" s="1055"/>
      <c r="DD314" s="1055"/>
      <c r="DE314" s="1055"/>
      <c r="DF314" s="1055"/>
    </row>
    <row r="315" s="809" customFormat="1" ht="31" customHeight="1" spans="1:110">
      <c r="A315" s="991"/>
      <c r="B315" s="992"/>
      <c r="C315" s="993"/>
      <c r="E315" s="994"/>
      <c r="G315" s="995"/>
      <c r="H315" s="996"/>
      <c r="I315" s="996"/>
      <c r="J315" s="996"/>
      <c r="K315" s="996"/>
      <c r="L315" s="1015"/>
      <c r="M315" s="1018"/>
      <c r="N315" s="1018"/>
      <c r="O315" s="1016"/>
      <c r="AB315" s="996"/>
      <c r="AG315" s="994"/>
      <c r="AH315" s="1014"/>
      <c r="AI315" s="994"/>
      <c r="AJ315" s="1045"/>
      <c r="AK315" s="1045"/>
      <c r="AL315" s="1045"/>
      <c r="AM315" s="1046"/>
      <c r="AN315" s="1047"/>
      <c r="AO315" s="1048"/>
      <c r="AP315" s="1049"/>
      <c r="BF315" s="993"/>
      <c r="BG315" s="993"/>
      <c r="BH315" s="993"/>
      <c r="BI315" s="993"/>
      <c r="BJ315" s="993"/>
      <c r="BS315" s="889"/>
      <c r="BT315" s="889"/>
      <c r="BU315" s="889"/>
      <c r="BV315" s="889"/>
      <c r="BW315" s="889"/>
      <c r="BX315" s="889"/>
      <c r="CB315" s="889"/>
      <c r="CC315" s="889"/>
      <c r="CD315" s="1053"/>
      <c r="CE315" s="889"/>
      <c r="CF315" s="889"/>
      <c r="CG315" s="889"/>
      <c r="CK315" s="1055"/>
      <c r="CL315" s="1055"/>
      <c r="CM315" s="1055"/>
      <c r="CN315" s="1055"/>
      <c r="CO315" s="1055"/>
      <c r="CP315" s="1055"/>
      <c r="CQ315" s="1055"/>
      <c r="CR315" s="1055"/>
      <c r="CS315" s="1055"/>
      <c r="CT315" s="1055"/>
      <c r="CU315" s="1055"/>
      <c r="CV315" s="1055"/>
      <c r="CW315" s="1055"/>
      <c r="CX315" s="1055"/>
      <c r="CY315" s="1055"/>
      <c r="CZ315" s="1055"/>
      <c r="DA315" s="1055"/>
      <c r="DB315" s="1055"/>
      <c r="DC315" s="1055"/>
      <c r="DD315" s="1055"/>
      <c r="DE315" s="1055"/>
      <c r="DF315" s="1055"/>
    </row>
    <row r="316" s="808" customFormat="1" ht="31" customHeight="1" spans="1:85">
      <c r="A316" s="997"/>
      <c r="B316" s="987"/>
      <c r="C316" s="988"/>
      <c r="D316" s="802"/>
      <c r="E316" s="916"/>
      <c r="F316" s="802"/>
      <c r="G316" s="989"/>
      <c r="H316" s="916"/>
      <c r="I316" s="916"/>
      <c r="J316" s="916"/>
      <c r="K316" s="916"/>
      <c r="L316" s="1011"/>
      <c r="M316" s="843"/>
      <c r="N316" s="843"/>
      <c r="O316" s="1013"/>
      <c r="P316" s="1014"/>
      <c r="Q316" s="916"/>
      <c r="R316" s="1030"/>
      <c r="S316" s="1030"/>
      <c r="T316" s="1030"/>
      <c r="U316" s="987"/>
      <c r="V316" s="843"/>
      <c r="W316" s="1032"/>
      <c r="X316" s="1033"/>
      <c r="Y316" s="916"/>
      <c r="Z316" s="916"/>
      <c r="AA316" s="916"/>
      <c r="AB316" s="996"/>
      <c r="AC316" s="916"/>
      <c r="AD316" s="1039"/>
      <c r="AE316" s="1039"/>
      <c r="AF316" s="1040"/>
      <c r="AG316" s="1044"/>
      <c r="AH316" s="916"/>
      <c r="BS316" s="1052"/>
      <c r="BT316" s="1052"/>
      <c r="BU316" s="1052"/>
      <c r="BV316" s="1052"/>
      <c r="BW316" s="1052"/>
      <c r="BX316" s="1052"/>
      <c r="CB316" s="1052"/>
      <c r="CC316" s="1052"/>
      <c r="CD316" s="1052"/>
      <c r="CE316" s="1052"/>
      <c r="CF316" s="1052"/>
      <c r="CG316" s="1052"/>
    </row>
    <row r="317" s="802" customFormat="1" ht="31" customHeight="1" spans="1:110">
      <c r="A317" s="997"/>
      <c r="B317" s="987"/>
      <c r="C317" s="998"/>
      <c r="E317" s="830"/>
      <c r="F317" s="856"/>
      <c r="G317" s="989"/>
      <c r="H317" s="916"/>
      <c r="I317" s="916"/>
      <c r="J317" s="916"/>
      <c r="K317" s="916"/>
      <c r="L317" s="1011"/>
      <c r="M317" s="843"/>
      <c r="N317" s="843"/>
      <c r="O317" s="844"/>
      <c r="P317" s="1013"/>
      <c r="Q317" s="830"/>
      <c r="R317" s="855"/>
      <c r="S317" s="855"/>
      <c r="T317" s="855"/>
      <c r="U317" s="856"/>
      <c r="V317" s="1012"/>
      <c r="W317" s="1032"/>
      <c r="X317" s="1033"/>
      <c r="Y317" s="830"/>
      <c r="Z317" s="830"/>
      <c r="AA317" s="916"/>
      <c r="AB317" s="916"/>
      <c r="AC317" s="830"/>
      <c r="AD317" s="1041"/>
      <c r="AE317" s="1041"/>
      <c r="AF317" s="1042"/>
      <c r="AG317" s="1017"/>
      <c r="AH317" s="830"/>
      <c r="AI317" s="808"/>
      <c r="AK317" s="808"/>
      <c r="AL317" s="808"/>
      <c r="AM317" s="808"/>
      <c r="AN317" s="808"/>
      <c r="AO317" s="808"/>
      <c r="BF317" s="998"/>
      <c r="BG317" s="998"/>
      <c r="BH317" s="998"/>
      <c r="BI317" s="998"/>
      <c r="BJ317" s="998"/>
      <c r="BS317" s="888"/>
      <c r="BT317" s="888"/>
      <c r="BU317" s="888"/>
      <c r="BV317" s="888"/>
      <c r="BW317" s="888"/>
      <c r="BX317" s="888"/>
      <c r="CB317" s="888"/>
      <c r="CC317" s="888"/>
      <c r="CD317" s="1054"/>
      <c r="CE317" s="888"/>
      <c r="CF317" s="888"/>
      <c r="CG317" s="888"/>
      <c r="CK317" s="1056"/>
      <c r="CL317" s="1056"/>
      <c r="CM317" s="1056"/>
      <c r="CN317" s="1056"/>
      <c r="CO317" s="1056"/>
      <c r="CP317" s="1056"/>
      <c r="CQ317" s="1056"/>
      <c r="CR317" s="1056"/>
      <c r="CS317" s="1056"/>
      <c r="CT317" s="1056"/>
      <c r="CU317" s="1056"/>
      <c r="CV317" s="1056"/>
      <c r="CW317" s="1056"/>
      <c r="CX317" s="1056"/>
      <c r="CY317" s="1056"/>
      <c r="CZ317" s="1056"/>
      <c r="DA317" s="1056"/>
      <c r="DB317" s="1056"/>
      <c r="DC317" s="1056"/>
      <c r="DD317" s="1056"/>
      <c r="DE317" s="1056"/>
      <c r="DF317" s="1056"/>
    </row>
    <row r="318" s="802" customFormat="1" ht="31" customHeight="1" spans="1:110">
      <c r="A318" s="997"/>
      <c r="B318" s="871"/>
      <c r="C318" s="998"/>
      <c r="E318" s="830"/>
      <c r="F318" s="856"/>
      <c r="G318" s="989"/>
      <c r="H318" s="916"/>
      <c r="I318" s="916"/>
      <c r="J318" s="916"/>
      <c r="K318" s="916"/>
      <c r="L318" s="1011"/>
      <c r="M318" s="843"/>
      <c r="N318" s="843"/>
      <c r="O318" s="844"/>
      <c r="V318" s="1014"/>
      <c r="W318" s="830"/>
      <c r="X318" s="855"/>
      <c r="Y318" s="855"/>
      <c r="Z318" s="855"/>
      <c r="AA318" s="856"/>
      <c r="AB318" s="1012"/>
      <c r="AC318" s="1032"/>
      <c r="AD318" s="1033"/>
      <c r="AE318" s="830"/>
      <c r="AF318" s="830"/>
      <c r="AG318" s="916"/>
      <c r="AH318" s="916"/>
      <c r="AI318" s="830"/>
      <c r="AJ318" s="1041"/>
      <c r="AK318" s="1041"/>
      <c r="AL318" s="1042"/>
      <c r="AM318" s="1017"/>
      <c r="AN318" s="830"/>
      <c r="AO318" s="808"/>
      <c r="AQ318" s="808"/>
      <c r="AR318" s="1017"/>
      <c r="BF318" s="998"/>
      <c r="BG318" s="998"/>
      <c r="BH318" s="998"/>
      <c r="BI318" s="998"/>
      <c r="BJ318" s="998"/>
      <c r="BS318" s="888"/>
      <c r="BT318" s="888"/>
      <c r="BU318" s="888"/>
      <c r="BV318" s="888"/>
      <c r="BW318" s="888"/>
      <c r="BX318" s="888"/>
      <c r="CB318" s="888"/>
      <c r="CC318" s="888"/>
      <c r="CD318" s="1054"/>
      <c r="CE318" s="888"/>
      <c r="CF318" s="888"/>
      <c r="CG318" s="888"/>
      <c r="CK318" s="1056"/>
      <c r="CL318" s="1056"/>
      <c r="CM318" s="1056"/>
      <c r="CN318" s="1056"/>
      <c r="CO318" s="1056"/>
      <c r="CP318" s="1056"/>
      <c r="CQ318" s="1056"/>
      <c r="CR318" s="1056"/>
      <c r="CS318" s="1056"/>
      <c r="CT318" s="1056"/>
      <c r="CU318" s="1056"/>
      <c r="CV318" s="1056"/>
      <c r="CW318" s="1056"/>
      <c r="CX318" s="1056"/>
      <c r="CY318" s="1056"/>
      <c r="CZ318" s="1056"/>
      <c r="DA318" s="1056"/>
      <c r="DB318" s="1056"/>
      <c r="DC318" s="1056"/>
      <c r="DD318" s="1056"/>
      <c r="DE318" s="1056"/>
      <c r="DF318" s="1056"/>
    </row>
    <row r="319" s="802" customFormat="1" ht="31" customHeight="1" spans="1:110">
      <c r="A319" s="997"/>
      <c r="B319" s="871"/>
      <c r="C319" s="998"/>
      <c r="E319" s="830"/>
      <c r="G319" s="989"/>
      <c r="H319" s="916"/>
      <c r="I319" s="916"/>
      <c r="J319" s="916"/>
      <c r="K319" s="916"/>
      <c r="L319" s="1011"/>
      <c r="M319" s="843"/>
      <c r="N319" s="843"/>
      <c r="O319" s="844"/>
      <c r="V319" s="1014"/>
      <c r="W319" s="830"/>
      <c r="X319" s="855"/>
      <c r="Y319" s="855"/>
      <c r="Z319" s="855"/>
      <c r="AA319" s="856"/>
      <c r="AB319" s="1012"/>
      <c r="AC319" s="1032"/>
      <c r="AD319" s="1033"/>
      <c r="AE319" s="830"/>
      <c r="AF319" s="830"/>
      <c r="AG319" s="916"/>
      <c r="AH319" s="916"/>
      <c r="AI319" s="830"/>
      <c r="AJ319" s="1041"/>
      <c r="AK319" s="1041"/>
      <c r="AL319" s="1042"/>
      <c r="AQ319" s="808"/>
      <c r="AR319" s="808"/>
      <c r="BF319" s="998"/>
      <c r="BG319" s="998"/>
      <c r="BH319" s="998"/>
      <c r="BI319" s="998"/>
      <c r="BJ319" s="998"/>
      <c r="BS319" s="888"/>
      <c r="BT319" s="888"/>
      <c r="BU319" s="888"/>
      <c r="BV319" s="888"/>
      <c r="BW319" s="888"/>
      <c r="BX319" s="888"/>
      <c r="CB319" s="888"/>
      <c r="CC319" s="888"/>
      <c r="CD319" s="1054"/>
      <c r="CE319" s="888"/>
      <c r="CF319" s="888"/>
      <c r="CG319" s="888"/>
      <c r="CK319" s="1056"/>
      <c r="CL319" s="1056"/>
      <c r="CM319" s="1056"/>
      <c r="CN319" s="1056"/>
      <c r="CO319" s="1056"/>
      <c r="CP319" s="1056"/>
      <c r="CQ319" s="1056"/>
      <c r="CR319" s="1056"/>
      <c r="CS319" s="1056"/>
      <c r="CT319" s="1056"/>
      <c r="CU319" s="1056"/>
      <c r="CV319" s="1056"/>
      <c r="CW319" s="1056"/>
      <c r="CX319" s="1056"/>
      <c r="CY319" s="1056"/>
      <c r="CZ319" s="1056"/>
      <c r="DA319" s="1056"/>
      <c r="DB319" s="1056"/>
      <c r="DC319" s="1056"/>
      <c r="DD319" s="1056"/>
      <c r="DE319" s="1056"/>
      <c r="DF319" s="1056"/>
    </row>
    <row r="320" s="802" customFormat="1" ht="31" customHeight="1" spans="1:110">
      <c r="A320" s="997"/>
      <c r="B320" s="999"/>
      <c r="C320" s="988"/>
      <c r="E320" s="999"/>
      <c r="G320" s="989"/>
      <c r="H320" s="916"/>
      <c r="I320" s="916"/>
      <c r="J320" s="916"/>
      <c r="K320" s="916"/>
      <c r="L320" s="1011"/>
      <c r="M320" s="843"/>
      <c r="N320" s="843"/>
      <c r="O320" s="844"/>
      <c r="P320" s="1014" t="s">
        <v>2174</v>
      </c>
      <c r="Q320" s="830"/>
      <c r="R320" s="855"/>
      <c r="S320" s="855"/>
      <c r="T320" s="855"/>
      <c r="U320" s="856"/>
      <c r="V320" s="1012"/>
      <c r="W320" s="1032"/>
      <c r="X320" s="1033"/>
      <c r="Y320" s="830"/>
      <c r="Z320" s="830"/>
      <c r="AA320" s="916"/>
      <c r="AB320" s="916"/>
      <c r="AC320" s="830"/>
      <c r="AD320" s="1041"/>
      <c r="AE320" s="1041"/>
      <c r="AF320" s="1042"/>
      <c r="AG320" s="1017"/>
      <c r="AH320" s="830"/>
      <c r="AI320" s="808"/>
      <c r="AK320" s="808"/>
      <c r="AL320" s="808"/>
      <c r="AM320" s="808"/>
      <c r="AN320" s="808"/>
      <c r="AO320" s="808"/>
      <c r="BF320" s="998"/>
      <c r="BG320" s="998"/>
      <c r="BH320" s="998"/>
      <c r="BI320" s="998"/>
      <c r="BJ320" s="998"/>
      <c r="BS320" s="888"/>
      <c r="BT320" s="888"/>
      <c r="BU320" s="888"/>
      <c r="BV320" s="888"/>
      <c r="BW320" s="888"/>
      <c r="BX320" s="888"/>
      <c r="CB320" s="888"/>
      <c r="CC320" s="888"/>
      <c r="CD320" s="1054"/>
      <c r="CE320" s="888"/>
      <c r="CF320" s="888"/>
      <c r="CG320" s="888"/>
      <c r="CK320" s="1056"/>
      <c r="CL320" s="1056"/>
      <c r="CM320" s="1056"/>
      <c r="CN320" s="1056"/>
      <c r="CO320" s="1056"/>
      <c r="CP320" s="1056"/>
      <c r="CQ320" s="1056"/>
      <c r="CR320" s="1056"/>
      <c r="CS320" s="1056"/>
      <c r="CT320" s="1056"/>
      <c r="CU320" s="1056"/>
      <c r="CV320" s="1056"/>
      <c r="CW320" s="1056"/>
      <c r="CX320" s="1056"/>
      <c r="CY320" s="1056"/>
      <c r="CZ320" s="1056"/>
      <c r="DA320" s="1056"/>
      <c r="DB320" s="1056"/>
      <c r="DC320" s="1056"/>
      <c r="DD320" s="1056"/>
      <c r="DE320" s="1056"/>
      <c r="DF320" s="1056"/>
    </row>
    <row r="321" s="802" customFormat="1" ht="31" customHeight="1" spans="1:110">
      <c r="A321" s="997"/>
      <c r="B321" s="871"/>
      <c r="C321" s="998"/>
      <c r="E321" s="830"/>
      <c r="F321" s="856"/>
      <c r="G321" s="989"/>
      <c r="H321" s="916"/>
      <c r="I321" s="916"/>
      <c r="J321" s="916"/>
      <c r="K321" s="916"/>
      <c r="L321" s="1011"/>
      <c r="M321" s="843"/>
      <c r="N321" s="843"/>
      <c r="O321" s="844"/>
      <c r="P321" s="1014"/>
      <c r="Q321" s="830"/>
      <c r="R321" s="855"/>
      <c r="S321" s="855"/>
      <c r="T321" s="855"/>
      <c r="U321" s="856"/>
      <c r="V321" s="1012"/>
      <c r="W321" s="1032"/>
      <c r="X321" s="1033"/>
      <c r="Y321" s="830"/>
      <c r="Z321" s="830"/>
      <c r="AA321" s="916"/>
      <c r="AB321" s="916"/>
      <c r="AC321" s="830"/>
      <c r="AD321" s="1041"/>
      <c r="AE321" s="1041"/>
      <c r="AF321" s="1042"/>
      <c r="AG321" s="1017"/>
      <c r="AH321" s="830"/>
      <c r="AI321" s="808"/>
      <c r="AK321" s="808"/>
      <c r="AL321" s="808"/>
      <c r="AM321" s="808"/>
      <c r="AN321" s="808"/>
      <c r="AO321" s="808"/>
      <c r="BF321" s="998"/>
      <c r="BG321" s="998"/>
      <c r="BH321" s="998"/>
      <c r="BI321" s="998"/>
      <c r="BJ321" s="998"/>
      <c r="BS321" s="888"/>
      <c r="BT321" s="888"/>
      <c r="BU321" s="888"/>
      <c r="BV321" s="888"/>
      <c r="BW321" s="888"/>
      <c r="BX321" s="888"/>
      <c r="CB321" s="888"/>
      <c r="CC321" s="888"/>
      <c r="CD321" s="1054"/>
      <c r="CE321" s="888"/>
      <c r="CF321" s="888"/>
      <c r="CG321" s="888"/>
      <c r="CK321" s="1056"/>
      <c r="CL321" s="1056"/>
      <c r="CM321" s="1056"/>
      <c r="CN321" s="1056"/>
      <c r="CO321" s="1056"/>
      <c r="CP321" s="1056"/>
      <c r="CQ321" s="1056"/>
      <c r="CR321" s="1056"/>
      <c r="CS321" s="1056"/>
      <c r="CT321" s="1056"/>
      <c r="CU321" s="1056"/>
      <c r="CV321" s="1056"/>
      <c r="CW321" s="1056"/>
      <c r="CX321" s="1056"/>
      <c r="CY321" s="1056"/>
      <c r="CZ321" s="1056"/>
      <c r="DA321" s="1056"/>
      <c r="DB321" s="1056"/>
      <c r="DC321" s="1056"/>
      <c r="DD321" s="1056"/>
      <c r="DE321" s="1056"/>
      <c r="DF321" s="1056"/>
    </row>
    <row r="322" s="809" customFormat="1" ht="31" customHeight="1" spans="1:110">
      <c r="A322" s="991"/>
      <c r="B322" s="992"/>
      <c r="C322" s="993"/>
      <c r="E322" s="994"/>
      <c r="G322" s="995"/>
      <c r="H322" s="996"/>
      <c r="I322" s="996"/>
      <c r="J322" s="996"/>
      <c r="K322" s="996"/>
      <c r="L322" s="1015"/>
      <c r="M322" s="843"/>
      <c r="N322" s="1018"/>
      <c r="O322" s="1016"/>
      <c r="P322" s="1014"/>
      <c r="Q322" s="994"/>
      <c r="R322" s="1045"/>
      <c r="S322" s="1045"/>
      <c r="T322" s="1045"/>
      <c r="U322" s="1046"/>
      <c r="V322" s="1047"/>
      <c r="W322" s="1048"/>
      <c r="X322" s="1049"/>
      <c r="Y322" s="994"/>
      <c r="Z322" s="994"/>
      <c r="AA322" s="995"/>
      <c r="AB322" s="996"/>
      <c r="AC322" s="994"/>
      <c r="AD322" s="1077"/>
      <c r="AE322" s="1077"/>
      <c r="AF322" s="1078"/>
      <c r="AG322" s="1017"/>
      <c r="AH322" s="994"/>
      <c r="AI322" s="1034"/>
      <c r="AK322" s="1034"/>
      <c r="AL322" s="1034"/>
      <c r="AM322" s="1034"/>
      <c r="AN322" s="1034"/>
      <c r="AO322" s="1034"/>
      <c r="BF322" s="993"/>
      <c r="BG322" s="993"/>
      <c r="BH322" s="993"/>
      <c r="BI322" s="993"/>
      <c r="BJ322" s="993"/>
      <c r="BS322" s="889"/>
      <c r="BT322" s="889"/>
      <c r="BU322" s="889"/>
      <c r="BV322" s="889"/>
      <c r="BW322" s="889"/>
      <c r="BX322" s="889"/>
      <c r="CB322" s="889"/>
      <c r="CC322" s="889"/>
      <c r="CD322" s="1053"/>
      <c r="CE322" s="889"/>
      <c r="CF322" s="889"/>
      <c r="CG322" s="889"/>
      <c r="CK322" s="1055"/>
      <c r="CL322" s="1055"/>
      <c r="CM322" s="1055"/>
      <c r="CN322" s="1055"/>
      <c r="CO322" s="1055"/>
      <c r="CP322" s="1055"/>
      <c r="CQ322" s="1055"/>
      <c r="CR322" s="1055"/>
      <c r="CS322" s="1055"/>
      <c r="CT322" s="1055"/>
      <c r="CU322" s="1055"/>
      <c r="CV322" s="1055"/>
      <c r="CW322" s="1055"/>
      <c r="CX322" s="1055"/>
      <c r="CY322" s="1055"/>
      <c r="CZ322" s="1055"/>
      <c r="DA322" s="1055"/>
      <c r="DB322" s="1055"/>
      <c r="DC322" s="1055"/>
      <c r="DD322" s="1055"/>
      <c r="DE322" s="1055"/>
      <c r="DF322" s="1055"/>
    </row>
    <row r="323" s="809" customFormat="1" ht="31" customHeight="1" spans="1:110">
      <c r="A323" s="991"/>
      <c r="B323" s="992"/>
      <c r="C323" s="993"/>
      <c r="E323" s="994"/>
      <c r="G323" s="995"/>
      <c r="H323" s="996"/>
      <c r="I323" s="996"/>
      <c r="J323" s="996"/>
      <c r="K323" s="996"/>
      <c r="L323" s="1015"/>
      <c r="M323" s="843"/>
      <c r="N323" s="1018"/>
      <c r="O323" s="1016"/>
      <c r="P323" s="1014"/>
      <c r="Q323" s="994"/>
      <c r="R323" s="1045"/>
      <c r="S323" s="1045"/>
      <c r="T323" s="1045"/>
      <c r="U323" s="1046"/>
      <c r="V323" s="1047"/>
      <c r="W323" s="1048"/>
      <c r="X323" s="1049"/>
      <c r="Y323" s="994"/>
      <c r="Z323" s="994"/>
      <c r="AA323" s="996"/>
      <c r="AB323" s="996"/>
      <c r="AC323" s="994"/>
      <c r="AD323" s="1077"/>
      <c r="AE323" s="1077"/>
      <c r="AF323" s="1078"/>
      <c r="AG323" s="1017"/>
      <c r="AH323" s="994"/>
      <c r="AI323" s="1034"/>
      <c r="AK323" s="1034"/>
      <c r="AL323" s="1034"/>
      <c r="AM323" s="1034"/>
      <c r="AN323" s="1034"/>
      <c r="AO323" s="1034"/>
      <c r="BF323" s="993"/>
      <c r="BG323" s="993"/>
      <c r="BH323" s="993"/>
      <c r="BI323" s="993"/>
      <c r="BJ323" s="993"/>
      <c r="BS323" s="889"/>
      <c r="BT323" s="889"/>
      <c r="BU323" s="889"/>
      <c r="BV323" s="889"/>
      <c r="BW323" s="889"/>
      <c r="BX323" s="889"/>
      <c r="CB323" s="889"/>
      <c r="CC323" s="889"/>
      <c r="CD323" s="1053"/>
      <c r="CE323" s="889"/>
      <c r="CF323" s="889"/>
      <c r="CG323" s="889"/>
      <c r="CK323" s="1055"/>
      <c r="CL323" s="1055"/>
      <c r="CM323" s="1055"/>
      <c r="CN323" s="1055"/>
      <c r="CO323" s="1055"/>
      <c r="CP323" s="1055"/>
      <c r="CQ323" s="1055"/>
      <c r="CR323" s="1055"/>
      <c r="CS323" s="1055"/>
      <c r="CT323" s="1055"/>
      <c r="CU323" s="1055"/>
      <c r="CV323" s="1055"/>
      <c r="CW323" s="1055"/>
      <c r="CX323" s="1055"/>
      <c r="CY323" s="1055"/>
      <c r="CZ323" s="1055"/>
      <c r="DA323" s="1055"/>
      <c r="DB323" s="1055"/>
      <c r="DC323" s="1055"/>
      <c r="DD323" s="1055"/>
      <c r="DE323" s="1055"/>
      <c r="DF323" s="1055"/>
    </row>
    <row r="324" s="802" customFormat="1" ht="31" customHeight="1" spans="1:110">
      <c r="A324" s="997"/>
      <c r="B324" s="871"/>
      <c r="C324" s="998"/>
      <c r="E324" s="830"/>
      <c r="G324" s="989"/>
      <c r="H324" s="916"/>
      <c r="I324" s="916"/>
      <c r="J324" s="916"/>
      <c r="K324" s="916"/>
      <c r="L324" s="1011"/>
      <c r="M324" s="843"/>
      <c r="N324" s="843"/>
      <c r="O324" s="844"/>
      <c r="P324" s="1014"/>
      <c r="Q324" s="830"/>
      <c r="R324" s="855"/>
      <c r="S324" s="855"/>
      <c r="T324" s="855"/>
      <c r="U324" s="856"/>
      <c r="V324" s="1012"/>
      <c r="W324" s="1032"/>
      <c r="X324" s="1033"/>
      <c r="Y324" s="830"/>
      <c r="Z324" s="830"/>
      <c r="AA324" s="916"/>
      <c r="AB324" s="916"/>
      <c r="AC324" s="830"/>
      <c r="AD324" s="1041"/>
      <c r="AE324" s="1041"/>
      <c r="AF324" s="1042"/>
      <c r="AG324" s="1082"/>
      <c r="AH324" s="830"/>
      <c r="AI324" s="808"/>
      <c r="AK324" s="808"/>
      <c r="AL324" s="808"/>
      <c r="AM324" s="808"/>
      <c r="AN324" s="808"/>
      <c r="AO324" s="808"/>
      <c r="BF324" s="998"/>
      <c r="BG324" s="998"/>
      <c r="BH324" s="998"/>
      <c r="BI324" s="998"/>
      <c r="BJ324" s="998"/>
      <c r="BS324" s="888"/>
      <c r="BT324" s="888"/>
      <c r="BU324" s="888"/>
      <c r="BV324" s="888"/>
      <c r="BW324" s="888"/>
      <c r="BX324" s="888"/>
      <c r="CB324" s="888"/>
      <c r="CC324" s="888"/>
      <c r="CD324" s="1054"/>
      <c r="CE324" s="888"/>
      <c r="CF324" s="888"/>
      <c r="CG324" s="888"/>
      <c r="CK324" s="1056"/>
      <c r="CL324" s="1056"/>
      <c r="CM324" s="1056"/>
      <c r="CN324" s="1056"/>
      <c r="CO324" s="1056"/>
      <c r="CP324" s="1056"/>
      <c r="CQ324" s="1056"/>
      <c r="CR324" s="1056"/>
      <c r="CS324" s="1056"/>
      <c r="CT324" s="1056"/>
      <c r="CU324" s="1056"/>
      <c r="CV324" s="1056"/>
      <c r="CW324" s="1056"/>
      <c r="CX324" s="1056"/>
      <c r="CY324" s="1056"/>
      <c r="CZ324" s="1056"/>
      <c r="DA324" s="1056"/>
      <c r="DB324" s="1056"/>
      <c r="DC324" s="1056"/>
      <c r="DD324" s="1056"/>
      <c r="DE324" s="1056"/>
      <c r="DF324" s="1056"/>
    </row>
    <row r="325" s="802" customFormat="1" ht="31" customHeight="1" spans="1:110">
      <c r="A325" s="997"/>
      <c r="B325" s="999"/>
      <c r="C325" s="988"/>
      <c r="E325" s="999"/>
      <c r="G325" s="989"/>
      <c r="H325" s="916"/>
      <c r="I325" s="916"/>
      <c r="J325" s="916"/>
      <c r="K325" s="916"/>
      <c r="L325" s="1011"/>
      <c r="M325" s="843"/>
      <c r="N325" s="843"/>
      <c r="O325" s="844"/>
      <c r="P325" s="1014"/>
      <c r="Q325" s="830"/>
      <c r="R325" s="855"/>
      <c r="S325" s="855"/>
      <c r="T325" s="855"/>
      <c r="U325" s="856"/>
      <c r="V325" s="843"/>
      <c r="W325" s="1032"/>
      <c r="X325" s="1033"/>
      <c r="Y325" s="830"/>
      <c r="Z325" s="830"/>
      <c r="AA325" s="989"/>
      <c r="AB325" s="916"/>
      <c r="AC325" s="830"/>
      <c r="AD325" s="1041"/>
      <c r="AE325" s="1041"/>
      <c r="AF325" s="1042"/>
      <c r="AG325" s="1082"/>
      <c r="AH325" s="830"/>
      <c r="AI325" s="808"/>
      <c r="AK325" s="808"/>
      <c r="AL325" s="808"/>
      <c r="AM325" s="808"/>
      <c r="AN325" s="808"/>
      <c r="AO325" s="808"/>
      <c r="BF325" s="998"/>
      <c r="BG325" s="998"/>
      <c r="BH325" s="998"/>
      <c r="BI325" s="998"/>
      <c r="BJ325" s="998"/>
      <c r="BS325" s="888"/>
      <c r="BT325" s="888"/>
      <c r="BU325" s="888"/>
      <c r="BV325" s="888"/>
      <c r="BW325" s="888"/>
      <c r="BX325" s="888"/>
      <c r="CB325" s="888"/>
      <c r="CC325" s="888"/>
      <c r="CD325" s="1054"/>
      <c r="CE325" s="888"/>
      <c r="CF325" s="888"/>
      <c r="CG325" s="888"/>
      <c r="CK325" s="1056"/>
      <c r="CL325" s="1056"/>
      <c r="CM325" s="1056"/>
      <c r="CN325" s="1056"/>
      <c r="CO325" s="1056"/>
      <c r="CP325" s="1056"/>
      <c r="CQ325" s="1056"/>
      <c r="CR325" s="1056"/>
      <c r="CS325" s="1056"/>
      <c r="CT325" s="1056"/>
      <c r="CU325" s="1056"/>
      <c r="CV325" s="1056"/>
      <c r="CW325" s="1056"/>
      <c r="CX325" s="1056"/>
      <c r="CY325" s="1056"/>
      <c r="CZ325" s="1056"/>
      <c r="DA325" s="1056"/>
      <c r="DB325" s="1056"/>
      <c r="DC325" s="1056"/>
      <c r="DD325" s="1056"/>
      <c r="DE325" s="1056"/>
      <c r="DF325" s="1056"/>
    </row>
    <row r="326" s="802" customFormat="1" ht="31" customHeight="1" spans="1:110">
      <c r="A326" s="997"/>
      <c r="B326" s="871"/>
      <c r="C326" s="998"/>
      <c r="E326" s="830"/>
      <c r="G326" s="989"/>
      <c r="H326" s="916"/>
      <c r="I326" s="916"/>
      <c r="J326" s="916"/>
      <c r="K326" s="916"/>
      <c r="L326" s="1011"/>
      <c r="M326" s="843"/>
      <c r="N326" s="843"/>
      <c r="O326" s="844"/>
      <c r="P326" s="1014"/>
      <c r="Q326" s="830"/>
      <c r="R326" s="855"/>
      <c r="S326" s="855"/>
      <c r="T326" s="855"/>
      <c r="U326" s="856"/>
      <c r="V326" s="1012"/>
      <c r="W326" s="1032"/>
      <c r="X326" s="1033"/>
      <c r="Y326" s="830"/>
      <c r="Z326" s="830"/>
      <c r="AA326" s="989"/>
      <c r="AB326" s="916"/>
      <c r="AC326" s="830"/>
      <c r="AD326" s="1041"/>
      <c r="AE326" s="1041"/>
      <c r="AF326" s="1042"/>
      <c r="AG326" s="1082"/>
      <c r="AH326" s="830"/>
      <c r="AI326" s="808"/>
      <c r="AK326" s="808"/>
      <c r="AL326" s="808"/>
      <c r="AM326" s="808"/>
      <c r="AN326" s="808"/>
      <c r="AO326" s="808"/>
      <c r="BF326" s="998"/>
      <c r="BG326" s="998"/>
      <c r="BH326" s="998"/>
      <c r="BI326" s="998"/>
      <c r="BJ326" s="998"/>
      <c r="BS326" s="888"/>
      <c r="BT326" s="888"/>
      <c r="BU326" s="888"/>
      <c r="BV326" s="888"/>
      <c r="BW326" s="888"/>
      <c r="BX326" s="888"/>
      <c r="CB326" s="888"/>
      <c r="CC326" s="888"/>
      <c r="CD326" s="1054"/>
      <c r="CE326" s="888"/>
      <c r="CF326" s="888"/>
      <c r="CG326" s="888"/>
      <c r="CK326" s="1056"/>
      <c r="CL326" s="1056"/>
      <c r="CM326" s="1056"/>
      <c r="CN326" s="1056"/>
      <c r="CO326" s="1056"/>
      <c r="CP326" s="1056"/>
      <c r="CQ326" s="1056"/>
      <c r="CR326" s="1056"/>
      <c r="CS326" s="1056"/>
      <c r="CT326" s="1056"/>
      <c r="CU326" s="1056"/>
      <c r="CV326" s="1056"/>
      <c r="CW326" s="1056"/>
      <c r="CX326" s="1056"/>
      <c r="CY326" s="1056"/>
      <c r="CZ326" s="1056"/>
      <c r="DA326" s="1056"/>
      <c r="DB326" s="1056"/>
      <c r="DC326" s="1056"/>
      <c r="DD326" s="1056"/>
      <c r="DE326" s="1056"/>
      <c r="DF326" s="1056"/>
    </row>
    <row r="327" s="802" customFormat="1" ht="31" customHeight="1" spans="1:85">
      <c r="A327" s="997"/>
      <c r="B327" s="856"/>
      <c r="C327" s="830"/>
      <c r="E327" s="830"/>
      <c r="F327" s="830"/>
      <c r="G327" s="843"/>
      <c r="H327" s="830"/>
      <c r="I327" s="830"/>
      <c r="J327" s="830"/>
      <c r="K327" s="830"/>
      <c r="L327" s="842"/>
      <c r="M327" s="843"/>
      <c r="N327" s="843"/>
      <c r="O327" s="844"/>
      <c r="P327" s="844"/>
      <c r="Q327" s="830"/>
      <c r="R327" s="951"/>
      <c r="S327" s="951"/>
      <c r="T327" s="951"/>
      <c r="V327" s="843"/>
      <c r="W327" s="1073"/>
      <c r="X327" s="859"/>
      <c r="Y327" s="830"/>
      <c r="Z327" s="830"/>
      <c r="AA327" s="830"/>
      <c r="AB327" s="830"/>
      <c r="AC327" s="830"/>
      <c r="AD327" s="1079"/>
      <c r="AE327" s="1079"/>
      <c r="AF327" s="871"/>
      <c r="AG327" s="1017"/>
      <c r="AH327" s="830"/>
      <c r="BS327" s="888"/>
      <c r="BT327" s="888"/>
      <c r="BU327" s="888"/>
      <c r="BV327" s="888"/>
      <c r="BW327" s="888"/>
      <c r="BX327" s="888"/>
      <c r="CB327" s="888"/>
      <c r="CC327" s="888"/>
      <c r="CD327" s="888"/>
      <c r="CE327" s="888"/>
      <c r="CF327" s="888"/>
      <c r="CG327" s="888"/>
    </row>
    <row r="328" s="802" customFormat="1" ht="31" customHeight="1" spans="1:85">
      <c r="A328" s="997"/>
      <c r="B328" s="856"/>
      <c r="C328" s="830"/>
      <c r="E328" s="830"/>
      <c r="F328" s="830"/>
      <c r="G328" s="1057"/>
      <c r="H328" s="830"/>
      <c r="I328" s="830"/>
      <c r="J328" s="830"/>
      <c r="K328" s="830"/>
      <c r="L328" s="842"/>
      <c r="M328" s="843"/>
      <c r="N328" s="843"/>
      <c r="O328" s="844"/>
      <c r="P328" s="844"/>
      <c r="Q328" s="830"/>
      <c r="R328" s="951"/>
      <c r="S328" s="951"/>
      <c r="T328" s="951"/>
      <c r="V328" s="843"/>
      <c r="W328" s="1073"/>
      <c r="X328" s="859"/>
      <c r="Y328" s="830"/>
      <c r="Z328" s="830"/>
      <c r="AA328" s="830"/>
      <c r="AB328" s="830"/>
      <c r="AC328" s="830"/>
      <c r="AD328" s="1041"/>
      <c r="AE328" s="1041"/>
      <c r="AF328" s="870"/>
      <c r="AG328" s="1017"/>
      <c r="AH328" s="830"/>
      <c r="BS328" s="888"/>
      <c r="BT328" s="888"/>
      <c r="BU328" s="888"/>
      <c r="BV328" s="888"/>
      <c r="BW328" s="888"/>
      <c r="BX328" s="888"/>
      <c r="CB328" s="888"/>
      <c r="CC328" s="888"/>
      <c r="CD328" s="888"/>
      <c r="CE328" s="888"/>
      <c r="CF328" s="888"/>
      <c r="CG328" s="888"/>
    </row>
    <row r="329" s="802" customFormat="1" ht="31" customHeight="1" spans="1:85">
      <c r="A329" s="997"/>
      <c r="B329" s="856"/>
      <c r="C329" s="830"/>
      <c r="E329" s="830"/>
      <c r="F329" s="830"/>
      <c r="G329" s="1057"/>
      <c r="H329" s="830"/>
      <c r="I329" s="830"/>
      <c r="J329" s="830"/>
      <c r="K329" s="830"/>
      <c r="L329" s="842"/>
      <c r="M329" s="843"/>
      <c r="N329" s="843"/>
      <c r="O329" s="844"/>
      <c r="P329" s="844"/>
      <c r="Q329" s="830"/>
      <c r="R329" s="855"/>
      <c r="S329" s="951"/>
      <c r="T329" s="855"/>
      <c r="V329" s="843"/>
      <c r="W329" s="1074"/>
      <c r="X329" s="859"/>
      <c r="Y329" s="830"/>
      <c r="Z329" s="830"/>
      <c r="AA329" s="830"/>
      <c r="AB329" s="830"/>
      <c r="AC329" s="830"/>
      <c r="AD329" s="844"/>
      <c r="AE329" s="844"/>
      <c r="AF329" s="830"/>
      <c r="AG329" s="1017"/>
      <c r="AH329" s="830"/>
      <c r="BS329" s="888"/>
      <c r="BT329" s="888"/>
      <c r="BU329" s="888"/>
      <c r="BV329" s="888"/>
      <c r="BW329" s="888"/>
      <c r="BX329" s="888"/>
      <c r="CB329" s="888"/>
      <c r="CC329" s="888"/>
      <c r="CD329" s="888"/>
      <c r="CE329" s="888"/>
      <c r="CF329" s="888"/>
      <c r="CG329" s="888"/>
    </row>
    <row r="330" s="802" customFormat="1" ht="31" customHeight="1" spans="1:85">
      <c r="A330" s="997"/>
      <c r="B330" s="856"/>
      <c r="C330" s="830"/>
      <c r="E330" s="830"/>
      <c r="F330" s="830"/>
      <c r="G330" s="843"/>
      <c r="H330" s="830"/>
      <c r="I330" s="830"/>
      <c r="J330" s="830"/>
      <c r="K330" s="830"/>
      <c r="L330" s="842"/>
      <c r="M330" s="843"/>
      <c r="N330" s="843"/>
      <c r="O330" s="844"/>
      <c r="P330" s="844"/>
      <c r="Q330" s="830"/>
      <c r="R330" s="951"/>
      <c r="S330" s="951"/>
      <c r="T330" s="951"/>
      <c r="V330" s="843"/>
      <c r="W330" s="1073"/>
      <c r="X330" s="859"/>
      <c r="Y330" s="830"/>
      <c r="Z330" s="830"/>
      <c r="AA330" s="830"/>
      <c r="AB330" s="830"/>
      <c r="AC330" s="830"/>
      <c r="AD330" s="844"/>
      <c r="AE330" s="844"/>
      <c r="AF330" s="830"/>
      <c r="AG330" s="1017"/>
      <c r="AH330" s="830"/>
      <c r="BS330" s="888"/>
      <c r="BT330" s="888"/>
      <c r="BU330" s="888"/>
      <c r="BV330" s="888"/>
      <c r="BW330" s="888"/>
      <c r="BX330" s="888"/>
      <c r="CB330" s="888"/>
      <c r="CC330" s="888"/>
      <c r="CD330" s="888"/>
      <c r="CE330" s="888"/>
      <c r="CF330" s="888"/>
      <c r="CG330" s="888"/>
    </row>
    <row r="331" ht="14.25" spans="13:13">
      <c r="M331" s="843"/>
    </row>
    <row r="332" spans="3:84">
      <c r="C332" s="1058"/>
      <c r="G332" s="1059" t="s">
        <v>101</v>
      </c>
      <c r="I332" s="1059">
        <f>SUM(I2:I331)</f>
        <v>452912</v>
      </c>
      <c r="J332" s="1058"/>
      <c r="K332" s="1058"/>
      <c r="L332" s="1058"/>
      <c r="M332" s="1058"/>
      <c r="N332" s="1058"/>
      <c r="O332" s="1058"/>
      <c r="P332" s="1058"/>
      <c r="Q332" s="1058"/>
      <c r="R332" s="1058"/>
      <c r="S332" s="1058"/>
      <c r="T332" s="1058"/>
      <c r="W332" s="1075"/>
      <c r="X332" s="1076"/>
      <c r="Y332" s="817"/>
      <c r="AB332" s="817"/>
      <c r="AC332" s="1058"/>
      <c r="AF332" s="1080"/>
      <c r="AG332" s="1083"/>
      <c r="AH332" s="1080"/>
      <c r="AI332" s="1059">
        <f t="shared" ref="AI332:BH332" si="174">SUM(AI2:AI331)</f>
        <v>533830</v>
      </c>
      <c r="AJ332" s="1059">
        <f t="shared" si="174"/>
        <v>16002</v>
      </c>
      <c r="AK332" s="1059">
        <f t="shared" si="174"/>
        <v>362648</v>
      </c>
      <c r="AL332" s="1059">
        <f t="shared" si="174"/>
        <v>5712</v>
      </c>
      <c r="AM332" s="1059">
        <f t="shared" si="174"/>
        <v>58464</v>
      </c>
      <c r="AN332" s="1059">
        <f t="shared" si="174"/>
        <v>102568</v>
      </c>
      <c r="AO332" s="1059">
        <f t="shared" si="174"/>
        <v>0</v>
      </c>
      <c r="AP332" s="1059">
        <f t="shared" si="174"/>
        <v>0</v>
      </c>
      <c r="AQ332" s="1059">
        <f t="shared" si="174"/>
        <v>417387</v>
      </c>
      <c r="AR332" s="1059">
        <f t="shared" si="174"/>
        <v>0</v>
      </c>
      <c r="AS332" s="1059">
        <f t="shared" si="174"/>
        <v>107136</v>
      </c>
      <c r="AT332" s="1059">
        <f t="shared" si="174"/>
        <v>0</v>
      </c>
      <c r="AU332" s="1059">
        <f t="shared" si="174"/>
        <v>0</v>
      </c>
      <c r="AV332" s="1059">
        <f t="shared" si="174"/>
        <v>0</v>
      </c>
      <c r="AW332" s="1059">
        <f t="shared" si="174"/>
        <v>0</v>
      </c>
      <c r="AX332" s="1059">
        <f t="shared" si="174"/>
        <v>9312</v>
      </c>
      <c r="AY332" s="1059">
        <f t="shared" si="174"/>
        <v>0</v>
      </c>
      <c r="AZ332" s="1059">
        <f t="shared" si="174"/>
        <v>6857</v>
      </c>
      <c r="BA332" s="1059">
        <f t="shared" si="174"/>
        <v>2676</v>
      </c>
      <c r="BB332" s="1059">
        <f t="shared" si="174"/>
        <v>92</v>
      </c>
      <c r="BC332" s="1059">
        <f t="shared" si="174"/>
        <v>988</v>
      </c>
      <c r="BD332" s="1059">
        <f t="shared" si="174"/>
        <v>3346</v>
      </c>
      <c r="BE332" s="1059">
        <f t="shared" si="174"/>
        <v>0</v>
      </c>
      <c r="BF332" s="1059">
        <f t="shared" si="174"/>
        <v>0</v>
      </c>
      <c r="BG332" s="1059">
        <f t="shared" si="174"/>
        <v>0</v>
      </c>
      <c r="BH332" s="1059">
        <f t="shared" si="174"/>
        <v>87</v>
      </c>
      <c r="BI332" s="1059"/>
      <c r="BJ332" s="1059">
        <f>SUM(BJ2:BJ331)</f>
        <v>0</v>
      </c>
      <c r="BK332" s="1059">
        <f>SUM(BK2:BK331)</f>
        <v>0</v>
      </c>
      <c r="BL332" s="1059">
        <f>SUM(BL2:BL331)</f>
        <v>72756</v>
      </c>
      <c r="BM332" s="1059">
        <f>SUM(BM2:BM331)</f>
        <v>56580</v>
      </c>
      <c r="BO332" s="1059">
        <f>SUM(BO2:BO331)</f>
        <v>72756</v>
      </c>
      <c r="BP332" s="1059">
        <f>SUM(BP2:BP331)</f>
        <v>11592</v>
      </c>
      <c r="BQ332" s="1059">
        <f>SUM(BQ2:BQ331)</f>
        <v>11592</v>
      </c>
      <c r="BR332" s="1059">
        <f>SUM(BR2:BR331)</f>
        <v>11592</v>
      </c>
      <c r="BS332" s="1084"/>
      <c r="BT332" s="1084"/>
      <c r="BU332" s="1084"/>
      <c r="BV332" s="1084"/>
      <c r="BW332" s="1084">
        <f>SUM(BW2:BW331)</f>
        <v>0</v>
      </c>
      <c r="BX332" s="1084">
        <f>SUM(BX2:BX331)</f>
        <v>0</v>
      </c>
      <c r="BY332" s="1059">
        <f>SUM(BY2:BY331)</f>
        <v>98470060</v>
      </c>
      <c r="BZ332" s="1059"/>
      <c r="CA332" s="1059">
        <f>SUM(CA2:CA331)</f>
        <v>4254</v>
      </c>
      <c r="CB332" s="1084"/>
      <c r="CC332" s="1084">
        <f>SUM(CC2:CC331)</f>
        <v>0</v>
      </c>
      <c r="CD332" s="1084">
        <f>SUM(CD2:CD331)</f>
        <v>0</v>
      </c>
      <c r="CE332" s="1084">
        <f>SUM(CE2:CE331)</f>
        <v>0</v>
      </c>
      <c r="CF332" s="1084">
        <f>SUM(CF2:CF331)</f>
        <v>2923627.14285716</v>
      </c>
    </row>
    <row r="334" ht="19" customHeight="1"/>
    <row r="335" ht="28.5" spans="1:35">
      <c r="A335" s="1060" t="s">
        <v>2175</v>
      </c>
      <c r="B335" s="1061" t="s">
        <v>2176</v>
      </c>
      <c r="C335" s="1062" t="s">
        <v>2177</v>
      </c>
      <c r="D335" s="1063">
        <f>$AI$332+AJ332</f>
        <v>549832</v>
      </c>
      <c r="E335" s="1064" t="s">
        <v>2178</v>
      </c>
      <c r="F335" s="1062" t="s">
        <v>2177</v>
      </c>
      <c r="G335" s="1063" t="e">
        <f>$AI$332+AJ332-#REF!-#REF!</f>
        <v>#REF!</v>
      </c>
      <c r="H335" s="1065" t="s">
        <v>2179</v>
      </c>
      <c r="I335" s="1063"/>
      <c r="W335" s="810"/>
      <c r="X335" s="813"/>
      <c r="Y335" s="814"/>
      <c r="Z335" s="1076"/>
      <c r="AC335" s="815"/>
      <c r="AD335" s="1058"/>
      <c r="AF335" s="1081"/>
      <c r="AG335" s="820" t="s">
        <v>2180</v>
      </c>
      <c r="AH335" s="820"/>
      <c r="AI335" s="819">
        <v>2188428</v>
      </c>
    </row>
    <row r="336" ht="15.75" spans="1:35">
      <c r="A336" s="1066" t="s">
        <v>2181</v>
      </c>
      <c r="B336" s="1067" t="s">
        <v>2182</v>
      </c>
      <c r="C336" s="1068">
        <v>0.0474025974025974</v>
      </c>
      <c r="D336" s="1069">
        <f t="shared" ref="D336:D357" si="175">$D$335*C336</f>
        <v>26063.4649350649</v>
      </c>
      <c r="E336" s="1064" t="s">
        <v>2183</v>
      </c>
      <c r="F336" s="1068">
        <v>0.0474025974025974</v>
      </c>
      <c r="G336" s="1069" t="e">
        <f t="shared" ref="G336:G355" si="176">$G$335*F336</f>
        <v>#REF!</v>
      </c>
      <c r="H336" s="1070" t="s">
        <v>2184</v>
      </c>
      <c r="I336" s="1072">
        <f>AU332+AV332+BC332+BD332</f>
        <v>4334</v>
      </c>
      <c r="W336" s="810"/>
      <c r="X336" s="813"/>
      <c r="Y336" s="814"/>
      <c r="Z336" s="1076"/>
      <c r="AC336" s="815"/>
      <c r="AD336" s="1058"/>
      <c r="AF336" s="1081"/>
      <c r="AG336" s="819"/>
      <c r="AH336" s="820"/>
      <c r="AI336" s="819"/>
    </row>
    <row r="337" ht="15.75" spans="1:35">
      <c r="A337" s="1066" t="s">
        <v>2185</v>
      </c>
      <c r="B337" s="1067" t="s">
        <v>2186</v>
      </c>
      <c r="C337" s="1068">
        <v>0.0474025974025974</v>
      </c>
      <c r="D337" s="1069">
        <f t="shared" si="175"/>
        <v>26063.4649350649</v>
      </c>
      <c r="E337" s="1064" t="s">
        <v>2187</v>
      </c>
      <c r="F337" s="1068">
        <v>0.0474025974025974</v>
      </c>
      <c r="G337" s="1069" t="e">
        <f t="shared" si="176"/>
        <v>#REF!</v>
      </c>
      <c r="H337" s="1070" t="s">
        <v>2188</v>
      </c>
      <c r="I337" s="1072">
        <f>I336</f>
        <v>4334</v>
      </c>
      <c r="W337" s="810"/>
      <c r="X337" s="813"/>
      <c r="Y337" s="814"/>
      <c r="Z337" s="1076"/>
      <c r="AC337" s="815"/>
      <c r="AD337" s="1058"/>
      <c r="AF337" s="1081"/>
      <c r="AG337" s="819"/>
      <c r="AH337" s="820"/>
      <c r="AI337" s="819"/>
    </row>
    <row r="338" ht="15.75" spans="1:35">
      <c r="A338" s="1066" t="s">
        <v>2189</v>
      </c>
      <c r="B338" s="1067" t="s">
        <v>2190</v>
      </c>
      <c r="C338" s="1068">
        <v>0.0474025974025974</v>
      </c>
      <c r="D338" s="1069">
        <f t="shared" si="175"/>
        <v>26063.4649350649</v>
      </c>
      <c r="E338" s="1064" t="s">
        <v>2191</v>
      </c>
      <c r="F338" s="1068">
        <v>0.0474025974025974</v>
      </c>
      <c r="G338" s="1069" t="e">
        <f t="shared" si="176"/>
        <v>#REF!</v>
      </c>
      <c r="H338" s="1070" t="s">
        <v>2192</v>
      </c>
      <c r="I338" s="1072">
        <f>I337</f>
        <v>4334</v>
      </c>
      <c r="W338" s="810"/>
      <c r="X338" s="813"/>
      <c r="Y338" s="814"/>
      <c r="Z338" s="1076"/>
      <c r="AC338" s="815"/>
      <c r="AD338" s="1058"/>
      <c r="AF338" s="1081"/>
      <c r="AG338" s="819"/>
      <c r="AH338" s="820"/>
      <c r="AI338" s="819"/>
    </row>
    <row r="339" ht="15.75" spans="1:35">
      <c r="A339" s="1066" t="s">
        <v>2193</v>
      </c>
      <c r="B339" s="1067" t="s">
        <v>2194</v>
      </c>
      <c r="C339" s="1068">
        <v>0.0474025974025974</v>
      </c>
      <c r="D339" s="1069">
        <f t="shared" si="175"/>
        <v>26063.4649350649</v>
      </c>
      <c r="E339" s="1064" t="s">
        <v>2195</v>
      </c>
      <c r="F339" s="1068">
        <v>0.0474025974025974</v>
      </c>
      <c r="G339" s="1069" t="e">
        <f t="shared" si="176"/>
        <v>#REF!</v>
      </c>
      <c r="H339" s="1070" t="s">
        <v>2196</v>
      </c>
      <c r="I339" s="1072">
        <f>I338</f>
        <v>4334</v>
      </c>
      <c r="W339" s="810"/>
      <c r="X339" s="813"/>
      <c r="Y339" s="814"/>
      <c r="Z339" s="1076"/>
      <c r="AC339" s="815"/>
      <c r="AD339" s="1058"/>
      <c r="AF339" s="1081"/>
      <c r="AG339" s="819"/>
      <c r="AH339" s="820"/>
      <c r="AI339" s="819"/>
    </row>
    <row r="340" ht="14.25" spans="1:35">
      <c r="A340" s="1066" t="s">
        <v>2197</v>
      </c>
      <c r="B340" s="1067" t="s">
        <v>2198</v>
      </c>
      <c r="C340" s="1068">
        <v>0.0474025974025974</v>
      </c>
      <c r="D340" s="1069">
        <f t="shared" si="175"/>
        <v>26063.4649350649</v>
      </c>
      <c r="E340" s="1064" t="s">
        <v>2199</v>
      </c>
      <c r="F340" s="1068">
        <v>0.0474025974025974</v>
      </c>
      <c r="G340" s="1069" t="e">
        <f t="shared" si="176"/>
        <v>#REF!</v>
      </c>
      <c r="H340" s="1063"/>
      <c r="I340" s="1063"/>
      <c r="W340" s="810"/>
      <c r="X340" s="813"/>
      <c r="Y340" s="814"/>
      <c r="Z340" s="1076"/>
      <c r="AC340" s="815"/>
      <c r="AD340" s="1058"/>
      <c r="AF340" s="1081"/>
      <c r="AG340" s="819"/>
      <c r="AH340" s="820"/>
      <c r="AI340" s="819"/>
    </row>
    <row r="341" ht="14.25" spans="1:35">
      <c r="A341" s="1066" t="s">
        <v>2200</v>
      </c>
      <c r="B341" s="1067" t="s">
        <v>2201</v>
      </c>
      <c r="C341" s="1068">
        <v>0.0474025974025974</v>
      </c>
      <c r="D341" s="1069">
        <f t="shared" si="175"/>
        <v>26063.4649350649</v>
      </c>
      <c r="E341" s="1064" t="s">
        <v>2202</v>
      </c>
      <c r="F341" s="1068">
        <v>0.0474025974025974</v>
      </c>
      <c r="G341" s="1069" t="e">
        <f t="shared" si="176"/>
        <v>#REF!</v>
      </c>
      <c r="H341" s="1065" t="s">
        <v>2203</v>
      </c>
      <c r="I341" s="1063"/>
      <c r="W341" s="810"/>
      <c r="X341" s="813"/>
      <c r="Y341" s="814"/>
      <c r="Z341" s="1076"/>
      <c r="AC341" s="815"/>
      <c r="AD341" s="1058"/>
      <c r="AF341" s="1081"/>
      <c r="AG341" s="819"/>
      <c r="AH341" s="820"/>
      <c r="AI341" s="819"/>
    </row>
    <row r="342" ht="15.75" spans="1:35">
      <c r="A342" s="1066" t="s">
        <v>2204</v>
      </c>
      <c r="B342" s="1067" t="s">
        <v>2205</v>
      </c>
      <c r="C342" s="1068">
        <v>0.0474025974025974</v>
      </c>
      <c r="D342" s="1069">
        <f t="shared" si="175"/>
        <v>26063.4649350649</v>
      </c>
      <c r="E342" s="1064" t="s">
        <v>2206</v>
      </c>
      <c r="F342" s="1068">
        <v>0.0474025974025974</v>
      </c>
      <c r="G342" s="1069" t="e">
        <f t="shared" si="176"/>
        <v>#REF!</v>
      </c>
      <c r="H342" s="1070" t="s">
        <v>2207</v>
      </c>
      <c r="I342" s="1063">
        <f>BE332</f>
        <v>0</v>
      </c>
      <c r="W342" s="810"/>
      <c r="X342" s="813"/>
      <c r="Y342" s="814"/>
      <c r="Z342" s="1076"/>
      <c r="AC342" s="815"/>
      <c r="AD342" s="1058"/>
      <c r="AF342" s="1081"/>
      <c r="AG342" s="819"/>
      <c r="AH342" s="820"/>
      <c r="AI342" s="819"/>
    </row>
    <row r="343" ht="15.75" spans="1:35">
      <c r="A343" s="1066" t="s">
        <v>2208</v>
      </c>
      <c r="B343" s="1067" t="s">
        <v>2209</v>
      </c>
      <c r="C343" s="1068">
        <v>0.0474025974025974</v>
      </c>
      <c r="D343" s="1069">
        <f t="shared" si="175"/>
        <v>26063.4649350649</v>
      </c>
      <c r="E343" s="1064" t="s">
        <v>2210</v>
      </c>
      <c r="F343" s="1068">
        <v>0.0474025974025974</v>
      </c>
      <c r="G343" s="1069" t="e">
        <f t="shared" si="176"/>
        <v>#REF!</v>
      </c>
      <c r="H343" s="1070" t="s">
        <v>2211</v>
      </c>
      <c r="I343" s="1063">
        <f>I342</f>
        <v>0</v>
      </c>
      <c r="W343" s="810"/>
      <c r="X343" s="813"/>
      <c r="Y343" s="814"/>
      <c r="Z343" s="1076"/>
      <c r="AC343" s="815"/>
      <c r="AD343" s="1058"/>
      <c r="AF343" s="1081"/>
      <c r="AG343" s="819"/>
      <c r="AH343" s="820"/>
      <c r="AI343" s="819"/>
    </row>
    <row r="344" ht="15.75" spans="1:35">
      <c r="A344" s="1066" t="s">
        <v>2212</v>
      </c>
      <c r="B344" s="1067" t="s">
        <v>2213</v>
      </c>
      <c r="C344" s="1068">
        <v>0.0474025974025974</v>
      </c>
      <c r="D344" s="1069">
        <f t="shared" si="175"/>
        <v>26063.4649350649</v>
      </c>
      <c r="E344" s="1064" t="s">
        <v>2214</v>
      </c>
      <c r="F344" s="1068">
        <v>0.0474025974025974</v>
      </c>
      <c r="G344" s="1069" t="e">
        <f t="shared" si="176"/>
        <v>#REF!</v>
      </c>
      <c r="H344" s="1070" t="s">
        <v>2215</v>
      </c>
      <c r="I344" s="1063">
        <f>I343</f>
        <v>0</v>
      </c>
      <c r="W344" s="810"/>
      <c r="X344" s="813"/>
      <c r="Y344" s="814"/>
      <c r="Z344" s="1076"/>
      <c r="AC344" s="815"/>
      <c r="AD344" s="1058"/>
      <c r="AF344" s="1081"/>
      <c r="AG344" s="819"/>
      <c r="AH344" s="820"/>
      <c r="AI344" s="819"/>
    </row>
    <row r="345" ht="14.25" spans="1:35">
      <c r="A345" s="1066" t="s">
        <v>2216</v>
      </c>
      <c r="B345" s="1067" t="s">
        <v>2217</v>
      </c>
      <c r="C345" s="1068">
        <v>0.0474025974025974</v>
      </c>
      <c r="D345" s="1069">
        <f t="shared" si="175"/>
        <v>26063.4649350649</v>
      </c>
      <c r="E345" s="1064" t="s">
        <v>2218</v>
      </c>
      <c r="F345" s="1068">
        <v>0.0474025974025974</v>
      </c>
      <c r="G345" s="1069" t="e">
        <f t="shared" si="176"/>
        <v>#REF!</v>
      </c>
      <c r="H345" s="1063"/>
      <c r="I345" s="1063"/>
      <c r="W345" s="810"/>
      <c r="X345" s="813"/>
      <c r="Y345" s="814"/>
      <c r="Z345" s="1076"/>
      <c r="AC345" s="815"/>
      <c r="AD345" s="1058"/>
      <c r="AF345" s="1081"/>
      <c r="AG345" s="819"/>
      <c r="AH345" s="820"/>
      <c r="AI345" s="819"/>
    </row>
    <row r="346" ht="14.25" spans="1:35">
      <c r="A346" s="1066" t="s">
        <v>2219</v>
      </c>
      <c r="B346" s="1067" t="s">
        <v>2220</v>
      </c>
      <c r="C346" s="1068">
        <v>0.0474025974025974</v>
      </c>
      <c r="D346" s="1069">
        <f t="shared" si="175"/>
        <v>26063.4649350649</v>
      </c>
      <c r="E346" s="1064" t="s">
        <v>2221</v>
      </c>
      <c r="F346" s="1068">
        <v>0.0474025974025974</v>
      </c>
      <c r="G346" s="1069" t="e">
        <f t="shared" si="176"/>
        <v>#REF!</v>
      </c>
      <c r="H346" s="1063" t="s">
        <v>2222</v>
      </c>
      <c r="I346" s="1063"/>
      <c r="W346" s="810"/>
      <c r="X346" s="813"/>
      <c r="Y346" s="814"/>
      <c r="Z346" s="1076"/>
      <c r="AC346" s="815"/>
      <c r="AD346" s="1058"/>
      <c r="AF346" s="1081"/>
      <c r="AG346" s="819"/>
      <c r="AH346" s="820"/>
      <c r="AI346" s="819"/>
    </row>
    <row r="347" ht="15.75" spans="1:35">
      <c r="A347" s="1066" t="s">
        <v>2223</v>
      </c>
      <c r="B347" s="1067" t="s">
        <v>2224</v>
      </c>
      <c r="C347" s="1068">
        <v>0.0474025974025974</v>
      </c>
      <c r="D347" s="1069">
        <f t="shared" si="175"/>
        <v>26063.4649350649</v>
      </c>
      <c r="E347" s="1064" t="s">
        <v>2225</v>
      </c>
      <c r="F347" s="1068">
        <v>0.0474025974025974</v>
      </c>
      <c r="G347" s="1069" t="e">
        <f t="shared" si="176"/>
        <v>#REF!</v>
      </c>
      <c r="H347" s="1070" t="s">
        <v>2226</v>
      </c>
      <c r="I347" s="1063">
        <f>BH332</f>
        <v>87</v>
      </c>
      <c r="W347" s="810"/>
      <c r="X347" s="813"/>
      <c r="Y347" s="814"/>
      <c r="Z347" s="1076"/>
      <c r="AC347" s="815"/>
      <c r="AD347" s="1058"/>
      <c r="AF347" s="1081"/>
      <c r="AG347" s="819"/>
      <c r="AH347" s="820"/>
      <c r="AI347" s="819"/>
    </row>
    <row r="348" ht="15.75" spans="1:35">
      <c r="A348" s="1066" t="s">
        <v>2227</v>
      </c>
      <c r="B348" s="1067" t="s">
        <v>2228</v>
      </c>
      <c r="C348" s="1068">
        <v>0.0474025974025974</v>
      </c>
      <c r="D348" s="1069">
        <f t="shared" si="175"/>
        <v>26063.4649350649</v>
      </c>
      <c r="E348" s="1064" t="s">
        <v>2229</v>
      </c>
      <c r="F348" s="1068">
        <v>0.0474025974025974</v>
      </c>
      <c r="G348" s="1069" t="e">
        <f t="shared" si="176"/>
        <v>#REF!</v>
      </c>
      <c r="H348" s="1070" t="s">
        <v>2230</v>
      </c>
      <c r="I348" s="1063">
        <f>BH332</f>
        <v>87</v>
      </c>
      <c r="W348" s="810"/>
      <c r="X348" s="813"/>
      <c r="Y348" s="814"/>
      <c r="Z348" s="1076"/>
      <c r="AC348" s="815"/>
      <c r="AD348" s="1058"/>
      <c r="AF348" s="1081"/>
      <c r="AG348" s="819"/>
      <c r="AH348" s="820"/>
      <c r="AI348" s="819"/>
    </row>
    <row r="349" ht="14.25" spans="1:35">
      <c r="A349" s="1066" t="s">
        <v>2231</v>
      </c>
      <c r="B349" s="1067" t="s">
        <v>2232</v>
      </c>
      <c r="C349" s="1068">
        <v>0.0474025974025974</v>
      </c>
      <c r="D349" s="1069">
        <f t="shared" si="175"/>
        <v>26063.4649350649</v>
      </c>
      <c r="E349" s="1064" t="s">
        <v>2233</v>
      </c>
      <c r="F349" s="1068">
        <v>0.0474025974025974</v>
      </c>
      <c r="G349" s="1069" t="e">
        <f t="shared" si="176"/>
        <v>#REF!</v>
      </c>
      <c r="H349" s="1063"/>
      <c r="I349" s="1063"/>
      <c r="W349" s="810"/>
      <c r="X349" s="813"/>
      <c r="Y349" s="814"/>
      <c r="Z349" s="1076"/>
      <c r="AC349" s="815"/>
      <c r="AD349" s="1058"/>
      <c r="AF349" s="1081"/>
      <c r="AG349" s="819"/>
      <c r="AH349" s="820"/>
      <c r="AI349" s="819"/>
    </row>
    <row r="350" ht="14.25" spans="1:35">
      <c r="A350" s="1066" t="s">
        <v>2234</v>
      </c>
      <c r="B350" s="1067" t="s">
        <v>2235</v>
      </c>
      <c r="C350" s="1068">
        <v>0.0474025974025974</v>
      </c>
      <c r="D350" s="1069">
        <f t="shared" si="175"/>
        <v>26063.4649350649</v>
      </c>
      <c r="E350" s="1064" t="s">
        <v>2236</v>
      </c>
      <c r="F350" s="1068">
        <v>0.0948051948051948</v>
      </c>
      <c r="G350" s="1069" t="e">
        <f t="shared" si="176"/>
        <v>#REF!</v>
      </c>
      <c r="H350" s="1071" t="s">
        <v>2237</v>
      </c>
      <c r="I350" s="1063"/>
      <c r="W350" s="810"/>
      <c r="X350" s="813"/>
      <c r="Y350" s="814"/>
      <c r="Z350" s="1076"/>
      <c r="AC350" s="815"/>
      <c r="AD350" s="1058"/>
      <c r="AF350" s="1081"/>
      <c r="AG350" s="819"/>
      <c r="AH350" s="820"/>
      <c r="AI350" s="819"/>
    </row>
    <row r="351" ht="14.25" spans="1:35">
      <c r="A351" s="1066" t="s">
        <v>2238</v>
      </c>
      <c r="B351" s="1067" t="s">
        <v>2239</v>
      </c>
      <c r="C351" s="1068">
        <v>0.0474025974025974</v>
      </c>
      <c r="D351" s="1069">
        <f t="shared" si="175"/>
        <v>26063.4649350649</v>
      </c>
      <c r="E351" s="1064" t="s">
        <v>2240</v>
      </c>
      <c r="F351" s="1068">
        <v>0.0474025974025974</v>
      </c>
      <c r="G351" s="1069" t="e">
        <f t="shared" si="176"/>
        <v>#REF!</v>
      </c>
      <c r="H351" s="1063" t="s">
        <v>2241</v>
      </c>
      <c r="I351" s="1063">
        <f>BG332</f>
        <v>0</v>
      </c>
      <c r="W351" s="810"/>
      <c r="X351" s="813"/>
      <c r="Y351" s="814"/>
      <c r="Z351" s="1076"/>
      <c r="AC351" s="815"/>
      <c r="AD351" s="1058"/>
      <c r="AF351" s="1081"/>
      <c r="AG351" s="819"/>
      <c r="AH351" s="820"/>
      <c r="AI351" s="819"/>
    </row>
    <row r="352" ht="14.25" spans="1:35">
      <c r="A352" s="1066" t="s">
        <v>2242</v>
      </c>
      <c r="B352" s="1067" t="s">
        <v>2243</v>
      </c>
      <c r="C352" s="1068">
        <v>0.0474025974025974</v>
      </c>
      <c r="D352" s="1069">
        <f t="shared" si="175"/>
        <v>26063.4649350649</v>
      </c>
      <c r="E352" s="1064" t="s">
        <v>2244</v>
      </c>
      <c r="F352" s="1068">
        <v>0.0474025974025974</v>
      </c>
      <c r="G352" s="1069" t="e">
        <f t="shared" si="176"/>
        <v>#REF!</v>
      </c>
      <c r="H352" s="1063" t="s">
        <v>2245</v>
      </c>
      <c r="I352" s="1063">
        <f>BG332</f>
        <v>0</v>
      </c>
      <c r="W352" s="810"/>
      <c r="X352" s="813"/>
      <c r="Y352" s="814"/>
      <c r="Z352" s="1076"/>
      <c r="AC352" s="815"/>
      <c r="AD352" s="1058"/>
      <c r="AF352" s="1081"/>
      <c r="AG352" s="819"/>
      <c r="AH352" s="820"/>
      <c r="AI352" s="819"/>
    </row>
    <row r="353" ht="14.25" spans="1:35">
      <c r="A353" s="1066" t="s">
        <v>2246</v>
      </c>
      <c r="B353" s="1067" t="s">
        <v>2247</v>
      </c>
      <c r="C353" s="1068">
        <v>0.0474025974025974</v>
      </c>
      <c r="D353" s="1069">
        <f t="shared" si="175"/>
        <v>26063.4649350649</v>
      </c>
      <c r="E353" s="1064" t="s">
        <v>2248</v>
      </c>
      <c r="F353" s="1068">
        <v>0.0948051948051948</v>
      </c>
      <c r="G353" s="1069" t="e">
        <f t="shared" si="176"/>
        <v>#REF!</v>
      </c>
      <c r="H353" s="1063" t="s">
        <v>2249</v>
      </c>
      <c r="I353" s="1063">
        <f>BG332</f>
        <v>0</v>
      </c>
      <c r="W353" s="810"/>
      <c r="X353" s="813"/>
      <c r="Y353" s="814"/>
      <c r="Z353" s="1076"/>
      <c r="AC353" s="815"/>
      <c r="AD353" s="1058"/>
      <c r="AF353" s="1081"/>
      <c r="AG353" s="819"/>
      <c r="AH353" s="820"/>
      <c r="AI353" s="819"/>
    </row>
    <row r="354" ht="14.25" spans="1:35">
      <c r="A354" s="1066" t="s">
        <v>2250</v>
      </c>
      <c r="B354" s="1067" t="s">
        <v>2251</v>
      </c>
      <c r="C354" s="1068">
        <v>0.0474025974025974</v>
      </c>
      <c r="D354" s="1069">
        <f t="shared" si="175"/>
        <v>26063.4649350649</v>
      </c>
      <c r="E354" s="1064" t="s">
        <v>2252</v>
      </c>
      <c r="F354" s="1068">
        <v>0.0474025974025974</v>
      </c>
      <c r="G354" s="1069" t="e">
        <f t="shared" si="176"/>
        <v>#REF!</v>
      </c>
      <c r="H354" s="1063"/>
      <c r="I354" s="1063"/>
      <c r="W354" s="810"/>
      <c r="X354" s="813"/>
      <c r="Y354" s="814"/>
      <c r="Z354" s="1076"/>
      <c r="AC354" s="815"/>
      <c r="AD354" s="1058"/>
      <c r="AF354" s="1081"/>
      <c r="AG354" s="819"/>
      <c r="AH354" s="820"/>
      <c r="AI354" s="819"/>
    </row>
    <row r="355" ht="28.5" spans="1:35">
      <c r="A355" s="1066" t="s">
        <v>2253</v>
      </c>
      <c r="B355" s="1067" t="s">
        <v>2254</v>
      </c>
      <c r="C355" s="1068">
        <v>0.0474025974025974</v>
      </c>
      <c r="D355" s="1069">
        <f t="shared" si="175"/>
        <v>26063.4649350649</v>
      </c>
      <c r="E355" s="1064" t="s">
        <v>2255</v>
      </c>
      <c r="F355" s="1068">
        <v>0.00454545454545454</v>
      </c>
      <c r="G355" s="1069" t="e">
        <f t="shared" si="176"/>
        <v>#REF!</v>
      </c>
      <c r="H355" s="1063"/>
      <c r="I355" s="1063"/>
      <c r="W355" s="810"/>
      <c r="X355" s="813"/>
      <c r="Y355" s="814"/>
      <c r="Z355" s="1076"/>
      <c r="AC355" s="815"/>
      <c r="AD355" s="1058"/>
      <c r="AF355" s="1081"/>
      <c r="AG355" s="819"/>
      <c r="AH355" s="820"/>
      <c r="AI355" s="819"/>
    </row>
    <row r="356" ht="14.25" spans="1:35">
      <c r="A356" s="1066" t="s">
        <v>2256</v>
      </c>
      <c r="B356" s="1067" t="s">
        <v>2257</v>
      </c>
      <c r="C356" s="1068">
        <v>0.0474025974025974</v>
      </c>
      <c r="D356" s="1069">
        <f t="shared" si="175"/>
        <v>26063.4649350649</v>
      </c>
      <c r="E356" s="1064"/>
      <c r="F356" s="1063"/>
      <c r="G356" s="1063"/>
      <c r="H356" s="1063"/>
      <c r="I356" s="1063"/>
      <c r="W356" s="810"/>
      <c r="X356" s="813"/>
      <c r="Y356" s="814"/>
      <c r="Z356" s="1076"/>
      <c r="AC356" s="815"/>
      <c r="AD356" s="1058"/>
      <c r="AF356" s="1081"/>
      <c r="AG356" s="819"/>
      <c r="AH356" s="820"/>
      <c r="AI356" s="819"/>
    </row>
    <row r="357" ht="14.25" spans="1:35">
      <c r="A357" s="1066" t="s">
        <v>2258</v>
      </c>
      <c r="B357" s="1067" t="s">
        <v>2259</v>
      </c>
      <c r="C357" s="1068">
        <v>0.00454545454545455</v>
      </c>
      <c r="D357" s="1069">
        <f t="shared" si="175"/>
        <v>2499.23636363637</v>
      </c>
      <c r="E357" s="1064"/>
      <c r="F357" s="1063"/>
      <c r="G357" s="1063"/>
      <c r="H357" s="1063"/>
      <c r="I357" s="1063"/>
      <c r="W357" s="810"/>
      <c r="X357" s="813"/>
      <c r="Y357" s="814"/>
      <c r="Z357" s="1076"/>
      <c r="AC357" s="815"/>
      <c r="AD357" s="1058"/>
      <c r="AF357" s="1081"/>
      <c r="AG357" s="819"/>
      <c r="AH357" s="820"/>
      <c r="AI357" s="819"/>
    </row>
    <row r="358" s="810" customFormat="1" ht="14.25" spans="1:85">
      <c r="A358" s="1066"/>
      <c r="B358" s="1068"/>
      <c r="C358" s="1069"/>
      <c r="D358" s="1063"/>
      <c r="E358" s="1062"/>
      <c r="F358" s="1063"/>
      <c r="G358" s="1063"/>
      <c r="H358" s="1063"/>
      <c r="W358" s="813"/>
      <c r="X358" s="814"/>
      <c r="Y358" s="815"/>
      <c r="Z358" s="816"/>
      <c r="AA358" s="817"/>
      <c r="AB358" s="815"/>
      <c r="AD358" s="818"/>
      <c r="AE358" s="818"/>
      <c r="AF358" s="819"/>
      <c r="AG358" s="820"/>
      <c r="AH358" s="819"/>
      <c r="BS358" s="821"/>
      <c r="BT358" s="821"/>
      <c r="BU358" s="821"/>
      <c r="BV358" s="821"/>
      <c r="BW358" s="821"/>
      <c r="BX358" s="821"/>
      <c r="CB358" s="821"/>
      <c r="CC358" s="821"/>
      <c r="CD358" s="821"/>
      <c r="CE358" s="821"/>
      <c r="CF358" s="821"/>
      <c r="CG358" s="821"/>
    </row>
    <row r="359" ht="14.25" spans="1:8">
      <c r="A359" s="1066"/>
      <c r="B359" s="1068"/>
      <c r="C359" s="1069"/>
      <c r="D359" s="1063"/>
      <c r="E359" s="1062"/>
      <c r="F359" s="1063"/>
      <c r="G359" s="1063"/>
      <c r="H359" s="1063"/>
    </row>
    <row r="360" ht="14.25" spans="1:8">
      <c r="A360" s="1066"/>
      <c r="B360" s="1068"/>
      <c r="C360" s="1069"/>
      <c r="D360" s="1063"/>
      <c r="E360" s="1062"/>
      <c r="F360" s="1063"/>
      <c r="G360" s="1063"/>
      <c r="H360" s="1063"/>
    </row>
    <row r="361" ht="14.25" spans="1:8">
      <c r="A361" s="1066"/>
      <c r="B361" s="1068"/>
      <c r="C361" s="1069"/>
      <c r="D361" s="1063"/>
      <c r="E361" s="1062"/>
      <c r="F361" s="1063"/>
      <c r="G361" s="1063"/>
      <c r="H361" s="1063"/>
    </row>
    <row r="362" ht="14.25" spans="1:8">
      <c r="A362" s="1066"/>
      <c r="B362" s="1068"/>
      <c r="C362" s="1069"/>
      <c r="D362" s="1063"/>
      <c r="E362" s="1062"/>
      <c r="F362" s="1063"/>
      <c r="G362" s="1063"/>
      <c r="H362" s="1063"/>
    </row>
    <row r="363" ht="14.25" spans="1:8">
      <c r="A363" s="1066"/>
      <c r="B363" s="1068"/>
      <c r="C363" s="1069"/>
      <c r="D363" s="1063"/>
      <c r="E363" s="1062"/>
      <c r="F363" s="1063"/>
      <c r="G363" s="1063"/>
      <c r="H363" s="1063"/>
    </row>
    <row r="364" ht="14.25" spans="1:8">
      <c r="A364" s="1066"/>
      <c r="B364" s="1068"/>
      <c r="C364" s="1069"/>
      <c r="D364" s="1063"/>
      <c r="E364" s="1062"/>
      <c r="F364" s="1063"/>
      <c r="G364" s="1063"/>
      <c r="H364" s="1063"/>
    </row>
    <row r="365" ht="14.25" spans="1:8">
      <c r="A365" s="1066"/>
      <c r="B365" s="1068"/>
      <c r="C365" s="1069"/>
      <c r="D365" s="1063"/>
      <c r="E365" s="1062"/>
      <c r="F365" s="1063"/>
      <c r="G365" s="1063"/>
      <c r="H365" s="1063"/>
    </row>
    <row r="366" ht="14.25" spans="1:8">
      <c r="A366" s="1066"/>
      <c r="B366" s="1068"/>
      <c r="C366" s="1069"/>
      <c r="D366" s="1063"/>
      <c r="E366" s="1062"/>
      <c r="F366" s="1063"/>
      <c r="G366" s="1063"/>
      <c r="H366" s="1063"/>
    </row>
    <row r="367" ht="14.25" spans="1:8">
      <c r="A367" s="1066"/>
      <c r="B367" s="1068"/>
      <c r="C367" s="1069"/>
      <c r="D367" s="1063"/>
      <c r="E367" s="1062"/>
      <c r="F367" s="1063"/>
      <c r="G367" s="1063"/>
      <c r="H367" s="1063"/>
    </row>
    <row r="368" ht="14.25" spans="1:8">
      <c r="A368" s="1066"/>
      <c r="B368" s="1068"/>
      <c r="C368" s="1069"/>
      <c r="D368" s="1063"/>
      <c r="E368" s="1062"/>
      <c r="F368" s="1063"/>
      <c r="G368" s="1063"/>
      <c r="H368" s="1063"/>
    </row>
    <row r="369" ht="14.25" spans="1:8">
      <c r="A369" s="1066"/>
      <c r="B369" s="1068"/>
      <c r="C369" s="1069"/>
      <c r="D369" s="1063"/>
      <c r="E369" s="1062"/>
      <c r="F369" s="1063"/>
      <c r="G369" s="1063"/>
      <c r="H369" s="1063"/>
    </row>
    <row r="370" ht="14.25" spans="1:8">
      <c r="A370" s="1066"/>
      <c r="B370" s="1068"/>
      <c r="C370" s="1069"/>
      <c r="D370" s="1063"/>
      <c r="E370" s="1062"/>
      <c r="F370" s="1063"/>
      <c r="G370" s="1063"/>
      <c r="H370" s="1063"/>
    </row>
    <row r="371" ht="14.25" spans="1:8">
      <c r="A371" s="1066"/>
      <c r="B371" s="1068"/>
      <c r="C371" s="1069"/>
      <c r="D371" s="1063"/>
      <c r="E371" s="1062"/>
      <c r="F371" s="1063"/>
      <c r="G371" s="1063"/>
      <c r="H371" s="1063"/>
    </row>
    <row r="372" ht="14.25" spans="1:8">
      <c r="A372" s="1066"/>
      <c r="B372" s="1068"/>
      <c r="C372" s="1069"/>
      <c r="D372" s="1063"/>
      <c r="E372" s="1062"/>
      <c r="F372" s="1063"/>
      <c r="G372" s="1063"/>
      <c r="H372" s="1063"/>
    </row>
    <row r="373" ht="14.25" spans="1:8">
      <c r="A373" s="1066"/>
      <c r="B373" s="1068"/>
      <c r="C373" s="1069"/>
      <c r="D373" s="1063"/>
      <c r="E373" s="1062"/>
      <c r="F373" s="1063"/>
      <c r="G373" s="1063"/>
      <c r="H373" s="1063"/>
    </row>
    <row r="374" ht="14.25" spans="1:8">
      <c r="A374" s="1066"/>
      <c r="B374" s="1068"/>
      <c r="C374" s="1069"/>
      <c r="D374" s="1063"/>
      <c r="E374" s="1062"/>
      <c r="F374" s="1063"/>
      <c r="G374" s="1063"/>
      <c r="H374" s="1063"/>
    </row>
    <row r="375" ht="14.25" spans="1:8">
      <c r="A375" s="1066"/>
      <c r="B375" s="1068"/>
      <c r="C375" s="1069"/>
      <c r="D375" s="1063"/>
      <c r="E375" s="1062"/>
      <c r="F375" s="1063"/>
      <c r="G375" s="1063"/>
      <c r="H375" s="1063"/>
    </row>
    <row r="376" ht="14.25" spans="1:8">
      <c r="A376" s="1066"/>
      <c r="B376" s="1068"/>
      <c r="C376" s="1069"/>
      <c r="D376" s="1063"/>
      <c r="E376" s="1062"/>
      <c r="F376" s="1063"/>
      <c r="G376" s="1063"/>
      <c r="H376" s="1063"/>
    </row>
    <row r="377" ht="14.25" spans="1:8">
      <c r="A377" s="1066"/>
      <c r="B377" s="1068"/>
      <c r="C377" s="1069"/>
      <c r="D377" s="1063"/>
      <c r="E377" s="1062"/>
      <c r="F377" s="1063"/>
      <c r="G377" s="1063"/>
      <c r="H377" s="1063"/>
    </row>
    <row r="378" ht="14.25" spans="1:8">
      <c r="A378" s="1066"/>
      <c r="B378" s="1068"/>
      <c r="C378" s="1069"/>
      <c r="D378" s="1063"/>
      <c r="E378" s="1062"/>
      <c r="F378" s="1063"/>
      <c r="G378" s="1063"/>
      <c r="H378" s="1063"/>
    </row>
    <row r="379" ht="14.25" spans="1:8">
      <c r="A379" s="1066"/>
      <c r="B379" s="1068"/>
      <c r="C379" s="1069"/>
      <c r="D379" s="1063"/>
      <c r="E379" s="1062"/>
      <c r="F379" s="1063"/>
      <c r="G379" s="1063"/>
      <c r="H379" s="1063"/>
    </row>
    <row r="380" ht="14.25" spans="1:8">
      <c r="A380" s="1066"/>
      <c r="B380" s="1068"/>
      <c r="C380" s="1069"/>
      <c r="D380" s="1063"/>
      <c r="E380" s="1062"/>
      <c r="F380" s="1063"/>
      <c r="G380" s="1063"/>
      <c r="H380" s="1063"/>
    </row>
    <row r="381" ht="14.25" spans="1:8">
      <c r="A381" s="1066"/>
      <c r="B381" s="1068"/>
      <c r="C381" s="1069"/>
      <c r="D381" s="1063"/>
      <c r="E381" s="1062"/>
      <c r="F381" s="1063"/>
      <c r="G381" s="1063"/>
      <c r="H381" s="1063"/>
    </row>
    <row r="382" ht="14.25" spans="1:8">
      <c r="A382" s="1066"/>
      <c r="B382" s="1068"/>
      <c r="C382" s="1069"/>
      <c r="D382" s="1063"/>
      <c r="E382" s="1062"/>
      <c r="F382" s="1063"/>
      <c r="G382" s="1063"/>
      <c r="H382" s="1063"/>
    </row>
    <row r="383" ht="14.25" spans="1:8">
      <c r="A383" s="1066"/>
      <c r="B383" s="1068"/>
      <c r="C383" s="1069"/>
      <c r="D383" s="1063"/>
      <c r="E383" s="1062"/>
      <c r="F383" s="1063"/>
      <c r="G383" s="1063"/>
      <c r="H383" s="1063"/>
    </row>
    <row r="384" ht="14.25" spans="1:8">
      <c r="A384" s="1066"/>
      <c r="B384" s="1063" t="s">
        <v>2260</v>
      </c>
      <c r="C384" s="1063">
        <f>SUM(C336:C383)</f>
        <v>1</v>
      </c>
      <c r="D384" s="1063"/>
      <c r="E384" s="1062"/>
      <c r="F384" s="1063"/>
      <c r="G384" s="1063"/>
      <c r="H384" s="1063"/>
    </row>
    <row r="389" s="11" customFormat="1" ht="31" customHeight="1" spans="1:85">
      <c r="A389" s="1085">
        <v>45173</v>
      </c>
      <c r="B389" s="1086" t="s">
        <v>2261</v>
      </c>
      <c r="C389" s="233" t="s">
        <v>600</v>
      </c>
      <c r="D389" s="11">
        <v>4500112124</v>
      </c>
      <c r="E389" s="233">
        <v>4400346974</v>
      </c>
      <c r="F389" s="11" t="s">
        <v>2262</v>
      </c>
      <c r="G389" s="236" t="s">
        <v>2263</v>
      </c>
      <c r="H389" s="236" t="s">
        <v>1140</v>
      </c>
      <c r="I389" s="236">
        <v>2520</v>
      </c>
      <c r="J389" s="236">
        <v>0</v>
      </c>
      <c r="K389" s="236">
        <v>42</v>
      </c>
      <c r="L389" s="247">
        <f t="shared" ref="L389:L398" si="177">I389/K389</f>
        <v>60</v>
      </c>
      <c r="M389" s="248">
        <v>45226</v>
      </c>
      <c r="N389" s="248" t="s">
        <v>2264</v>
      </c>
      <c r="O389" s="249"/>
      <c r="P389" s="249" t="s">
        <v>46</v>
      </c>
      <c r="Q389" s="236" t="s">
        <v>2265</v>
      </c>
      <c r="R389" s="270">
        <v>45173</v>
      </c>
      <c r="S389" s="236" t="s">
        <v>58</v>
      </c>
      <c r="T389" s="270">
        <v>45187</v>
      </c>
      <c r="U389" s="241" t="s">
        <v>2266</v>
      </c>
      <c r="V389" s="241" t="s">
        <v>2267</v>
      </c>
      <c r="W389" s="241">
        <v>2.06</v>
      </c>
      <c r="X389" s="269">
        <f>W389*I389</f>
        <v>5191.2</v>
      </c>
      <c r="Y389" s="236"/>
      <c r="Z389" s="236"/>
      <c r="AA389" s="236" t="s">
        <v>53</v>
      </c>
      <c r="AB389" s="279" t="s">
        <v>54</v>
      </c>
      <c r="AC389" s="236"/>
      <c r="AD389" s="239">
        <v>2520</v>
      </c>
      <c r="AE389" s="239">
        <f>AD389-I389</f>
        <v>0</v>
      </c>
      <c r="AF389" s="1095"/>
      <c r="AG389" s="236" t="s">
        <v>55</v>
      </c>
      <c r="AH389" s="236"/>
      <c r="AI389" s="236">
        <f t="shared" ref="AI389:AI398" si="178">I389</f>
        <v>2520</v>
      </c>
      <c r="AJ389" s="236"/>
      <c r="AK389" s="236"/>
      <c r="AL389" s="236"/>
      <c r="AM389" s="236"/>
      <c r="AN389" s="236">
        <f>I389</f>
        <v>2520</v>
      </c>
      <c r="AO389" s="236"/>
      <c r="AP389" s="236">
        <f>I389</f>
        <v>2520</v>
      </c>
      <c r="AQ389" s="236"/>
      <c r="AV389" s="11">
        <f>I389/21</f>
        <v>120</v>
      </c>
      <c r="BS389" s="288"/>
      <c r="BT389" s="288"/>
      <c r="BU389" s="288"/>
      <c r="BV389" s="288"/>
      <c r="BW389" s="288"/>
      <c r="BX389" s="288"/>
      <c r="CB389" s="288"/>
      <c r="CC389" s="288"/>
      <c r="CD389" s="288"/>
      <c r="CE389" s="288"/>
      <c r="CF389" s="288"/>
      <c r="CG389" s="288"/>
    </row>
    <row r="390" s="11" customFormat="1" ht="31" customHeight="1" spans="1:85">
      <c r="A390" s="1087">
        <v>45247</v>
      </c>
      <c r="B390" s="1088" t="s">
        <v>585</v>
      </c>
      <c r="C390" s="1089" t="s">
        <v>586</v>
      </c>
      <c r="D390" s="1090">
        <v>4500118740</v>
      </c>
      <c r="E390" s="1089" t="s">
        <v>2268</v>
      </c>
      <c r="F390" s="1090" t="s">
        <v>2269</v>
      </c>
      <c r="G390" s="236" t="s">
        <v>2263</v>
      </c>
      <c r="H390" s="236" t="s">
        <v>2270</v>
      </c>
      <c r="I390" s="236">
        <v>504</v>
      </c>
      <c r="J390" s="236">
        <v>0</v>
      </c>
      <c r="K390" s="236">
        <v>42</v>
      </c>
      <c r="L390" s="247">
        <f t="shared" si="177"/>
        <v>12</v>
      </c>
      <c r="M390" s="248">
        <v>45282</v>
      </c>
      <c r="N390" s="248" t="s">
        <v>2271</v>
      </c>
      <c r="O390" s="249"/>
      <c r="P390" s="249"/>
      <c r="Q390" s="236"/>
      <c r="R390" s="270">
        <v>45258</v>
      </c>
      <c r="S390" s="236" t="s">
        <v>58</v>
      </c>
      <c r="T390" s="270">
        <v>45259</v>
      </c>
      <c r="U390" s="1094" t="s">
        <v>2272</v>
      </c>
      <c r="V390" s="250" t="s">
        <v>2273</v>
      </c>
      <c r="W390" s="241">
        <v>2.0437</v>
      </c>
      <c r="X390" s="269">
        <f>W390*I390</f>
        <v>1030.0248</v>
      </c>
      <c r="Y390" s="236"/>
      <c r="Z390" s="236"/>
      <c r="AA390" s="236" t="s">
        <v>53</v>
      </c>
      <c r="AB390" s="279"/>
      <c r="AC390" s="236"/>
      <c r="AD390" s="239"/>
      <c r="AE390" s="239"/>
      <c r="AF390" s="1095"/>
      <c r="AG390" s="236" t="s">
        <v>55</v>
      </c>
      <c r="AH390" s="236"/>
      <c r="AI390" s="236">
        <f t="shared" si="178"/>
        <v>504</v>
      </c>
      <c r="AJ390" s="236"/>
      <c r="AK390" s="236">
        <f>I390</f>
        <v>504</v>
      </c>
      <c r="AL390" s="236"/>
      <c r="AM390" s="236"/>
      <c r="AN390" s="236"/>
      <c r="AO390" s="236"/>
      <c r="AP390" s="236"/>
      <c r="AQ390" s="236">
        <f>I390</f>
        <v>504</v>
      </c>
      <c r="AR390" s="236"/>
      <c r="AS390" s="236"/>
      <c r="AT390" s="236"/>
      <c r="AU390" s="11">
        <f>I390/21</f>
        <v>24</v>
      </c>
      <c r="BS390" s="288"/>
      <c r="BT390" s="288"/>
      <c r="BU390" s="288"/>
      <c r="BV390" s="288"/>
      <c r="BW390" s="288"/>
      <c r="BX390" s="288"/>
      <c r="CB390" s="288"/>
      <c r="CC390" s="288"/>
      <c r="CD390" s="288"/>
      <c r="CE390" s="288"/>
      <c r="CF390" s="288"/>
      <c r="CG390" s="288"/>
    </row>
    <row r="391" s="11" customFormat="1" ht="31" customHeight="1" spans="1:85">
      <c r="A391" s="1085">
        <v>45210</v>
      </c>
      <c r="B391" s="1086" t="s">
        <v>2274</v>
      </c>
      <c r="C391" s="233" t="s">
        <v>2275</v>
      </c>
      <c r="D391" s="11">
        <v>4500115438</v>
      </c>
      <c r="E391" s="233"/>
      <c r="F391" s="11" t="s">
        <v>2276</v>
      </c>
      <c r="G391" s="236" t="s">
        <v>2277</v>
      </c>
      <c r="H391" s="236" t="s">
        <v>1140</v>
      </c>
      <c r="I391" s="236">
        <v>2160</v>
      </c>
      <c r="J391" s="236">
        <v>0</v>
      </c>
      <c r="K391" s="236">
        <v>48</v>
      </c>
      <c r="L391" s="247">
        <f t="shared" si="177"/>
        <v>45</v>
      </c>
      <c r="M391" s="248">
        <v>45247</v>
      </c>
      <c r="N391" s="248" t="s">
        <v>2278</v>
      </c>
      <c r="O391" s="249"/>
      <c r="P391" s="249"/>
      <c r="Q391" s="236"/>
      <c r="R391" s="270">
        <v>45218</v>
      </c>
      <c r="S391" s="236" t="s">
        <v>58</v>
      </c>
      <c r="T391" s="270" t="s">
        <v>58</v>
      </c>
      <c r="U391" s="241" t="s">
        <v>2279</v>
      </c>
      <c r="V391" s="241" t="s">
        <v>214</v>
      </c>
      <c r="W391" s="241">
        <v>2.25</v>
      </c>
      <c r="X391" s="269">
        <f>I391*W391</f>
        <v>4860</v>
      </c>
      <c r="Y391" s="236"/>
      <c r="Z391" s="236"/>
      <c r="AA391" s="236" t="s">
        <v>53</v>
      </c>
      <c r="AB391" s="279" t="s">
        <v>54</v>
      </c>
      <c r="AC391" s="236"/>
      <c r="AD391" s="239"/>
      <c r="AE391" s="239">
        <f>AD391-I391</f>
        <v>-2160</v>
      </c>
      <c r="AF391" s="1096"/>
      <c r="AG391" s="236"/>
      <c r="AH391" s="236"/>
      <c r="AI391" s="236">
        <f t="shared" si="178"/>
        <v>2160</v>
      </c>
      <c r="AJ391" s="236"/>
      <c r="AK391" s="236">
        <f>I391</f>
        <v>2160</v>
      </c>
      <c r="AL391" s="236"/>
      <c r="AM391" s="236"/>
      <c r="AN391" s="236"/>
      <c r="AO391" s="236"/>
      <c r="AP391" s="236">
        <f>I391</f>
        <v>2160</v>
      </c>
      <c r="AR391" s="236"/>
      <c r="AS391" s="236"/>
      <c r="AT391" s="236"/>
      <c r="AW391" s="11">
        <f>I391/12</f>
        <v>180</v>
      </c>
      <c r="BS391" s="288"/>
      <c r="BT391" s="288"/>
      <c r="BU391" s="288"/>
      <c r="BV391" s="288"/>
      <c r="BW391" s="288"/>
      <c r="BX391" s="288"/>
      <c r="CB391" s="288"/>
      <c r="CC391" s="288"/>
      <c r="CD391" s="288"/>
      <c r="CE391" s="288"/>
      <c r="CF391" s="288"/>
      <c r="CG391" s="288"/>
    </row>
    <row r="392" s="11" customFormat="1" ht="31" customHeight="1" spans="1:85">
      <c r="A392" s="1087">
        <v>45264</v>
      </c>
      <c r="B392" s="1088" t="s">
        <v>162</v>
      </c>
      <c r="C392" s="1089" t="s">
        <v>84</v>
      </c>
      <c r="D392" s="1091">
        <v>4500120234</v>
      </c>
      <c r="E392" s="1089" t="s">
        <v>2280</v>
      </c>
      <c r="F392" s="1091" t="s">
        <v>2281</v>
      </c>
      <c r="G392" s="236" t="s">
        <v>2282</v>
      </c>
      <c r="H392" s="236" t="s">
        <v>1140</v>
      </c>
      <c r="I392" s="236">
        <v>29463</v>
      </c>
      <c r="J392" s="236">
        <v>0</v>
      </c>
      <c r="K392" s="236">
        <v>21</v>
      </c>
      <c r="L392" s="247">
        <f t="shared" si="177"/>
        <v>1403</v>
      </c>
      <c r="M392" s="248">
        <v>45310</v>
      </c>
      <c r="N392" s="248" t="s">
        <v>2283</v>
      </c>
      <c r="O392" s="249"/>
      <c r="P392" s="249"/>
      <c r="Q392" s="236"/>
      <c r="R392" s="270">
        <v>45274</v>
      </c>
      <c r="S392" s="236" t="s">
        <v>48</v>
      </c>
      <c r="T392" s="270" t="s">
        <v>49</v>
      </c>
      <c r="U392" s="241" t="s">
        <v>2284</v>
      </c>
      <c r="V392" s="248" t="s">
        <v>168</v>
      </c>
      <c r="W392" s="241">
        <v>1.9916</v>
      </c>
      <c r="X392" s="269">
        <f t="shared" ref="X392:X398" si="179">W392*I392</f>
        <v>58678.5108</v>
      </c>
      <c r="Y392" s="236"/>
      <c r="Z392" s="236"/>
      <c r="AA392" s="236" t="s">
        <v>53</v>
      </c>
      <c r="AB392" s="279"/>
      <c r="AC392" s="236"/>
      <c r="AD392" s="239"/>
      <c r="AE392" s="239"/>
      <c r="AF392" s="1095"/>
      <c r="AG392" s="236"/>
      <c r="AH392" s="236"/>
      <c r="AI392" s="236">
        <f t="shared" si="178"/>
        <v>29463</v>
      </c>
      <c r="AJ392" s="236"/>
      <c r="AK392" s="236">
        <f>I392</f>
        <v>29463</v>
      </c>
      <c r="AN392" s="236"/>
      <c r="AO392" s="236"/>
      <c r="AQ392" s="236">
        <f t="shared" ref="AQ392:AQ398" si="180">I392</f>
        <v>29463</v>
      </c>
      <c r="AR392" s="236"/>
      <c r="AS392" s="236"/>
      <c r="AT392" s="236"/>
      <c r="AU392" s="11">
        <f>I392/21</f>
        <v>1403</v>
      </c>
      <c r="BS392" s="889">
        <f>AI392+AJ392</f>
        <v>29463</v>
      </c>
      <c r="BT392" s="889" t="e">
        <f>#REF!+BS392</f>
        <v>#REF!</v>
      </c>
      <c r="BU392" s="288"/>
      <c r="BV392" s="288"/>
      <c r="BW392" s="288"/>
      <c r="BX392" s="288"/>
      <c r="CB392" s="288"/>
      <c r="CC392" s="288"/>
      <c r="CD392" s="288"/>
      <c r="CE392" s="288"/>
      <c r="CF392" s="288"/>
      <c r="CG392" s="288"/>
    </row>
    <row r="393" s="11" customFormat="1" ht="31" customHeight="1" spans="1:85">
      <c r="A393" s="1087">
        <v>45268</v>
      </c>
      <c r="B393" s="1088" t="s">
        <v>162</v>
      </c>
      <c r="C393" s="1089" t="s">
        <v>84</v>
      </c>
      <c r="D393" s="1091">
        <v>4500120658</v>
      </c>
      <c r="E393" s="1089" t="s">
        <v>2285</v>
      </c>
      <c r="F393" s="1091" t="s">
        <v>2286</v>
      </c>
      <c r="G393" s="236" t="s">
        <v>2282</v>
      </c>
      <c r="H393" s="236" t="s">
        <v>1140</v>
      </c>
      <c r="I393" s="236">
        <v>50547</v>
      </c>
      <c r="J393" s="236">
        <v>0</v>
      </c>
      <c r="K393" s="236">
        <v>21</v>
      </c>
      <c r="L393" s="247">
        <f t="shared" si="177"/>
        <v>2407</v>
      </c>
      <c r="M393" s="248">
        <v>45337</v>
      </c>
      <c r="N393" s="248" t="s">
        <v>2283</v>
      </c>
      <c r="O393" s="249"/>
      <c r="P393" s="249"/>
      <c r="Q393" s="236"/>
      <c r="R393" s="270" t="s">
        <v>49</v>
      </c>
      <c r="S393" s="236" t="s">
        <v>48</v>
      </c>
      <c r="T393" s="270" t="s">
        <v>49</v>
      </c>
      <c r="U393" s="241" t="s">
        <v>2287</v>
      </c>
      <c r="V393" s="248" t="s">
        <v>168</v>
      </c>
      <c r="W393" s="241">
        <v>1.9848</v>
      </c>
      <c r="X393" s="269">
        <f t="shared" si="179"/>
        <v>100325.6856</v>
      </c>
      <c r="Y393" s="236"/>
      <c r="Z393" s="236"/>
      <c r="AA393" s="236" t="s">
        <v>53</v>
      </c>
      <c r="AB393" s="279"/>
      <c r="AC393" s="236"/>
      <c r="AD393" s="239"/>
      <c r="AE393" s="239"/>
      <c r="AF393" s="1095"/>
      <c r="AG393" s="236"/>
      <c r="AH393" s="236"/>
      <c r="AI393" s="236">
        <f t="shared" si="178"/>
        <v>50547</v>
      </c>
      <c r="AJ393" s="236"/>
      <c r="AK393" s="236">
        <f>I393</f>
        <v>50547</v>
      </c>
      <c r="AN393" s="236"/>
      <c r="AO393" s="236"/>
      <c r="AQ393" s="236">
        <f t="shared" si="180"/>
        <v>50547</v>
      </c>
      <c r="AR393" s="236"/>
      <c r="AS393" s="236"/>
      <c r="AT393" s="236"/>
      <c r="AU393" s="11">
        <f>I393/21</f>
        <v>2407</v>
      </c>
      <c r="BS393" s="889">
        <f>AI393+AJ393</f>
        <v>50547</v>
      </c>
      <c r="BT393" s="889" t="e">
        <f>BT392+BS393</f>
        <v>#REF!</v>
      </c>
      <c r="BU393" s="288"/>
      <c r="BV393" s="288"/>
      <c r="BW393" s="288"/>
      <c r="BX393" s="288"/>
      <c r="CB393" s="288"/>
      <c r="CC393" s="288"/>
      <c r="CD393" s="288"/>
      <c r="CE393" s="288"/>
      <c r="CF393" s="288"/>
      <c r="CG393" s="288"/>
    </row>
    <row r="394" s="11" customFormat="1" ht="31" customHeight="1" spans="1:85">
      <c r="A394" s="1087">
        <v>45208</v>
      </c>
      <c r="B394" s="1088" t="s">
        <v>2288</v>
      </c>
      <c r="C394" s="1089" t="s">
        <v>716</v>
      </c>
      <c r="D394" s="1091">
        <v>4500115266</v>
      </c>
      <c r="E394" s="1089">
        <v>4900856437</v>
      </c>
      <c r="F394" s="1091" t="s">
        <v>2289</v>
      </c>
      <c r="G394" s="236" t="s">
        <v>2282</v>
      </c>
      <c r="H394" s="236" t="s">
        <v>1140</v>
      </c>
      <c r="I394" s="236">
        <v>8778</v>
      </c>
      <c r="J394" s="236">
        <v>0</v>
      </c>
      <c r="K394" s="236">
        <v>21</v>
      </c>
      <c r="L394" s="247">
        <f t="shared" si="177"/>
        <v>418</v>
      </c>
      <c r="M394" s="248">
        <v>45306</v>
      </c>
      <c r="N394" s="248" t="s">
        <v>2290</v>
      </c>
      <c r="O394" s="249" t="s">
        <v>2291</v>
      </c>
      <c r="P394" s="249" t="s">
        <v>1266</v>
      </c>
      <c r="Q394" s="236"/>
      <c r="R394" s="270">
        <v>45265</v>
      </c>
      <c r="S394" s="236" t="s">
        <v>58</v>
      </c>
      <c r="T394" s="270" t="s">
        <v>58</v>
      </c>
      <c r="U394" s="241" t="s">
        <v>2292</v>
      </c>
      <c r="V394" s="248" t="s">
        <v>2293</v>
      </c>
      <c r="W394" s="241">
        <v>2.08</v>
      </c>
      <c r="X394" s="269">
        <f t="shared" si="179"/>
        <v>18258.24</v>
      </c>
      <c r="Y394" s="236"/>
      <c r="Z394" s="236"/>
      <c r="AA394" s="236" t="s">
        <v>53</v>
      </c>
      <c r="AB394" s="279" t="s">
        <v>54</v>
      </c>
      <c r="AC394" s="236"/>
      <c r="AD394" s="239">
        <f>8778</f>
        <v>8778</v>
      </c>
      <c r="AE394" s="239">
        <f>AD394-I394</f>
        <v>0</v>
      </c>
      <c r="AF394" s="1095"/>
      <c r="AG394" s="236" t="s">
        <v>58</v>
      </c>
      <c r="AH394" s="236"/>
      <c r="AI394" s="236">
        <f t="shared" si="178"/>
        <v>8778</v>
      </c>
      <c r="AJ394" s="236"/>
      <c r="AK394" s="236"/>
      <c r="AN394" s="236">
        <f>I394</f>
        <v>8778</v>
      </c>
      <c r="AO394" s="236"/>
      <c r="AQ394" s="236">
        <f t="shared" si="180"/>
        <v>8778</v>
      </c>
      <c r="AR394" s="236"/>
      <c r="AS394" s="236"/>
      <c r="AT394" s="236"/>
      <c r="AV394" s="11">
        <f>I394/21</f>
        <v>418</v>
      </c>
      <c r="BS394" s="288">
        <f>AI394+AJ394</f>
        <v>8778</v>
      </c>
      <c r="BT394" s="288" t="e">
        <f>#REF!+BS394</f>
        <v>#REF!</v>
      </c>
      <c r="BU394" s="288" t="e">
        <f>$BV$1-BT394</f>
        <v>#REF!</v>
      </c>
      <c r="BV394" s="288"/>
      <c r="BW394" s="288"/>
      <c r="BX394" s="288"/>
      <c r="CA394" s="11">
        <f>AU394+AV394</f>
        <v>418</v>
      </c>
      <c r="CB394" s="288" t="e">
        <f>#REF!+CA394</f>
        <v>#REF!</v>
      </c>
      <c r="CC394" s="288"/>
      <c r="CD394" s="288"/>
      <c r="CE394" s="288" t="e">
        <f>$CD$1+$CE$1+$CF$1-CB394</f>
        <v>#REF!</v>
      </c>
      <c r="CF394" s="288"/>
      <c r="CG394" s="288"/>
    </row>
    <row r="395" s="11" customFormat="1" ht="31" customHeight="1" spans="1:85">
      <c r="A395" s="1087">
        <v>45208</v>
      </c>
      <c r="B395" s="1088" t="s">
        <v>2288</v>
      </c>
      <c r="C395" s="1089" t="s">
        <v>716</v>
      </c>
      <c r="D395" s="1091">
        <v>4500115268</v>
      </c>
      <c r="E395" s="1089">
        <v>4900856438</v>
      </c>
      <c r="F395" s="1091" t="s">
        <v>2294</v>
      </c>
      <c r="G395" s="236" t="s">
        <v>2282</v>
      </c>
      <c r="H395" s="236" t="s">
        <v>1140</v>
      </c>
      <c r="I395" s="236">
        <v>7686</v>
      </c>
      <c r="J395" s="236">
        <v>0</v>
      </c>
      <c r="K395" s="236">
        <v>21</v>
      </c>
      <c r="L395" s="247">
        <f t="shared" si="177"/>
        <v>366</v>
      </c>
      <c r="M395" s="248">
        <v>45308</v>
      </c>
      <c r="N395" s="248" t="s">
        <v>2290</v>
      </c>
      <c r="O395" s="249" t="s">
        <v>2291</v>
      </c>
      <c r="P395" s="249" t="s">
        <v>1266</v>
      </c>
      <c r="Q395" s="236"/>
      <c r="R395" s="270">
        <v>45265</v>
      </c>
      <c r="S395" s="236" t="s">
        <v>58</v>
      </c>
      <c r="T395" s="270" t="s">
        <v>58</v>
      </c>
      <c r="U395" s="241" t="s">
        <v>2295</v>
      </c>
      <c r="V395" s="241" t="s">
        <v>2293</v>
      </c>
      <c r="W395" s="241">
        <v>2.08</v>
      </c>
      <c r="X395" s="269">
        <f t="shared" si="179"/>
        <v>15986.88</v>
      </c>
      <c r="Y395" s="236"/>
      <c r="Z395" s="236"/>
      <c r="AA395" s="236" t="s">
        <v>53</v>
      </c>
      <c r="AB395" s="279" t="s">
        <v>54</v>
      </c>
      <c r="AC395" s="236"/>
      <c r="AD395" s="239">
        <v>7686</v>
      </c>
      <c r="AE395" s="239">
        <f>AD395-I395</f>
        <v>0</v>
      </c>
      <c r="AF395" s="1095"/>
      <c r="AG395" s="236" t="s">
        <v>58</v>
      </c>
      <c r="AH395" s="236"/>
      <c r="AI395" s="236">
        <f t="shared" si="178"/>
        <v>7686</v>
      </c>
      <c r="AK395" s="236"/>
      <c r="AN395" s="236">
        <f>I395</f>
        <v>7686</v>
      </c>
      <c r="AO395" s="236"/>
      <c r="AQ395" s="236">
        <f t="shared" si="180"/>
        <v>7686</v>
      </c>
      <c r="AR395" s="236"/>
      <c r="AS395" s="236"/>
      <c r="AT395" s="236"/>
      <c r="AV395" s="11">
        <f>I395/21</f>
        <v>366</v>
      </c>
      <c r="BS395" s="288">
        <f>AI395+AJ395</f>
        <v>7686</v>
      </c>
      <c r="BT395" s="288" t="e">
        <f>#REF!+BS395</f>
        <v>#REF!</v>
      </c>
      <c r="BU395" s="288" t="e">
        <f>$BV$1-BT395</f>
        <v>#REF!</v>
      </c>
      <c r="BV395" s="288"/>
      <c r="BW395" s="288"/>
      <c r="BX395" s="288"/>
      <c r="CA395" s="11">
        <f>AU395+AV395</f>
        <v>366</v>
      </c>
      <c r="CB395" s="288" t="e">
        <f>#REF!+CA395</f>
        <v>#REF!</v>
      </c>
      <c r="CC395" s="288"/>
      <c r="CD395" s="288"/>
      <c r="CE395" s="288" t="e">
        <f>$CD$1+$CE$1+$CF$1-CB395</f>
        <v>#REF!</v>
      </c>
      <c r="CF395" s="288"/>
      <c r="CG395" s="288"/>
    </row>
    <row r="396" s="11" customFormat="1" ht="31" customHeight="1" spans="1:85">
      <c r="A396" s="1087">
        <v>45208</v>
      </c>
      <c r="B396" s="1088" t="s">
        <v>2288</v>
      </c>
      <c r="C396" s="1089" t="s">
        <v>716</v>
      </c>
      <c r="D396" s="1091">
        <v>4500115269</v>
      </c>
      <c r="E396" s="1092">
        <v>4900856439</v>
      </c>
      <c r="F396" s="1091" t="s">
        <v>2296</v>
      </c>
      <c r="G396" s="236" t="s">
        <v>2282</v>
      </c>
      <c r="H396" s="236" t="s">
        <v>1140</v>
      </c>
      <c r="I396" s="236">
        <v>2310</v>
      </c>
      <c r="J396" s="236">
        <v>0</v>
      </c>
      <c r="K396" s="236">
        <v>21</v>
      </c>
      <c r="L396" s="247">
        <f t="shared" si="177"/>
        <v>110</v>
      </c>
      <c r="M396" s="248">
        <v>45320</v>
      </c>
      <c r="N396" s="248" t="s">
        <v>2290</v>
      </c>
      <c r="O396" s="249"/>
      <c r="P396" s="249" t="s">
        <v>2297</v>
      </c>
      <c r="Q396" s="236"/>
      <c r="R396" s="270">
        <v>45265</v>
      </c>
      <c r="S396" s="236" t="s">
        <v>58</v>
      </c>
      <c r="T396" s="270" t="s">
        <v>58</v>
      </c>
      <c r="U396" s="241" t="s">
        <v>2298</v>
      </c>
      <c r="V396" s="248" t="s">
        <v>2293</v>
      </c>
      <c r="W396" s="241">
        <v>2.08</v>
      </c>
      <c r="X396" s="269">
        <f t="shared" si="179"/>
        <v>4804.8</v>
      </c>
      <c r="Y396" s="236"/>
      <c r="Z396" s="236"/>
      <c r="AA396" s="236" t="s">
        <v>53</v>
      </c>
      <c r="AB396" s="279" t="s">
        <v>54</v>
      </c>
      <c r="AC396" s="236"/>
      <c r="AD396" s="239"/>
      <c r="AE396" s="239">
        <f>AD396-I396</f>
        <v>-2310</v>
      </c>
      <c r="AF396" s="1095"/>
      <c r="AG396" s="236" t="s">
        <v>58</v>
      </c>
      <c r="AH396" s="236"/>
      <c r="AI396" s="236">
        <f t="shared" si="178"/>
        <v>2310</v>
      </c>
      <c r="AJ396" s="236"/>
      <c r="AK396" s="236"/>
      <c r="AN396" s="236">
        <f>I396</f>
        <v>2310</v>
      </c>
      <c r="AO396" s="236"/>
      <c r="AQ396" s="236">
        <f t="shared" si="180"/>
        <v>2310</v>
      </c>
      <c r="AR396" s="236"/>
      <c r="AS396" s="236"/>
      <c r="AT396" s="236"/>
      <c r="AV396" s="11">
        <f>I396/21</f>
        <v>110</v>
      </c>
      <c r="BS396" s="288">
        <f>AI396+AJ396</f>
        <v>2310</v>
      </c>
      <c r="BT396" s="288" t="e">
        <f>#REF!+BS396</f>
        <v>#REF!</v>
      </c>
      <c r="BU396" s="288"/>
      <c r="BV396" s="288" t="e">
        <f>$BV$1+$BW$1-BT396</f>
        <v>#REF!</v>
      </c>
      <c r="BW396" s="288"/>
      <c r="BX396" s="288"/>
      <c r="CA396" s="11">
        <f>AU396+AV396</f>
        <v>110</v>
      </c>
      <c r="CB396" s="288" t="e">
        <f>#REF!+CA396</f>
        <v>#REF!</v>
      </c>
      <c r="CC396" s="288"/>
      <c r="CD396" s="288"/>
      <c r="CE396" s="288" t="e">
        <f>$CD$1+$CE$1+$CF$1-CB396</f>
        <v>#REF!</v>
      </c>
      <c r="CF396" s="288"/>
      <c r="CG396" s="288"/>
    </row>
    <row r="397" s="11" customFormat="1" ht="31" customHeight="1" spans="1:85">
      <c r="A397" s="1087">
        <v>45321</v>
      </c>
      <c r="B397" s="1088" t="s">
        <v>603</v>
      </c>
      <c r="C397" s="1089" t="s">
        <v>158</v>
      </c>
      <c r="D397" s="1091">
        <v>4500124079</v>
      </c>
      <c r="E397" s="1093" t="s">
        <v>2299</v>
      </c>
      <c r="F397" s="1091" t="s">
        <v>2300</v>
      </c>
      <c r="G397" s="236" t="s">
        <v>2282</v>
      </c>
      <c r="H397" s="236" t="s">
        <v>1140</v>
      </c>
      <c r="I397" s="236">
        <v>4200</v>
      </c>
      <c r="J397" s="236">
        <v>0</v>
      </c>
      <c r="K397" s="236">
        <v>21</v>
      </c>
      <c r="L397" s="247">
        <f t="shared" si="177"/>
        <v>200</v>
      </c>
      <c r="M397" s="248">
        <v>45362</v>
      </c>
      <c r="N397" s="249" t="s">
        <v>2301</v>
      </c>
      <c r="O397" s="249"/>
      <c r="P397" s="249"/>
      <c r="Q397" s="236"/>
      <c r="R397" s="270">
        <v>45321</v>
      </c>
      <c r="S397" s="236" t="s">
        <v>58</v>
      </c>
      <c r="T397" s="270" t="s">
        <v>58</v>
      </c>
      <c r="U397" s="241" t="s">
        <v>2302</v>
      </c>
      <c r="V397" s="241" t="s">
        <v>2303</v>
      </c>
      <c r="W397" s="241">
        <v>2.0685</v>
      </c>
      <c r="X397" s="269">
        <f t="shared" si="179"/>
        <v>8687.7</v>
      </c>
      <c r="Y397" s="236"/>
      <c r="Z397" s="236"/>
      <c r="AA397" s="236"/>
      <c r="AB397" s="279"/>
      <c r="AC397" s="236"/>
      <c r="AD397" s="239"/>
      <c r="AE397" s="239"/>
      <c r="AF397" s="1095"/>
      <c r="AG397" s="236"/>
      <c r="AH397" s="236"/>
      <c r="AI397" s="236">
        <f t="shared" si="178"/>
        <v>4200</v>
      </c>
      <c r="AJ397" s="236"/>
      <c r="AK397" s="236">
        <f>I397</f>
        <v>4200</v>
      </c>
      <c r="AN397" s="236"/>
      <c r="AO397" s="236"/>
      <c r="AQ397" s="236">
        <f t="shared" si="180"/>
        <v>4200</v>
      </c>
      <c r="AR397" s="236"/>
      <c r="AS397" s="236"/>
      <c r="AT397" s="236"/>
      <c r="AU397" s="11">
        <f>I397/21</f>
        <v>200</v>
      </c>
      <c r="BS397" s="288"/>
      <c r="BT397" s="288"/>
      <c r="BU397" s="288"/>
      <c r="BV397" s="288"/>
      <c r="BW397" s="288"/>
      <c r="BX397" s="288"/>
      <c r="CB397" s="288"/>
      <c r="CC397" s="288"/>
      <c r="CD397" s="288"/>
      <c r="CE397" s="288"/>
      <c r="CF397" s="288"/>
      <c r="CG397" s="288"/>
    </row>
    <row r="398" s="11" customFormat="1" ht="31" customHeight="1" spans="1:85">
      <c r="A398" s="1087">
        <v>45321</v>
      </c>
      <c r="B398" s="1088" t="s">
        <v>603</v>
      </c>
      <c r="C398" s="1089" t="s">
        <v>158</v>
      </c>
      <c r="D398" s="1091">
        <v>4500124079</v>
      </c>
      <c r="E398" s="1093" t="s">
        <v>2304</v>
      </c>
      <c r="F398" s="1091" t="s">
        <v>2305</v>
      </c>
      <c r="G398" s="236" t="s">
        <v>2282</v>
      </c>
      <c r="H398" s="236" t="s">
        <v>1140</v>
      </c>
      <c r="I398" s="236">
        <v>1050</v>
      </c>
      <c r="J398" s="236">
        <v>0</v>
      </c>
      <c r="K398" s="236">
        <v>21</v>
      </c>
      <c r="L398" s="247">
        <f t="shared" si="177"/>
        <v>50</v>
      </c>
      <c r="M398" s="248">
        <v>45362</v>
      </c>
      <c r="N398" s="249" t="s">
        <v>2301</v>
      </c>
      <c r="O398" s="249"/>
      <c r="P398" s="249"/>
      <c r="Q398" s="236"/>
      <c r="R398" s="270">
        <v>45321</v>
      </c>
      <c r="S398" s="236" t="s">
        <v>58</v>
      </c>
      <c r="T398" s="270" t="s">
        <v>58</v>
      </c>
      <c r="U398" s="241" t="s">
        <v>2302</v>
      </c>
      <c r="V398" s="241" t="s">
        <v>2303</v>
      </c>
      <c r="W398" s="241">
        <v>2.0685</v>
      </c>
      <c r="X398" s="269">
        <f t="shared" si="179"/>
        <v>2171.925</v>
      </c>
      <c r="Y398" s="236"/>
      <c r="Z398" s="236"/>
      <c r="AA398" s="236"/>
      <c r="AB398" s="279"/>
      <c r="AC398" s="236"/>
      <c r="AD398" s="239"/>
      <c r="AE398" s="239"/>
      <c r="AF398" s="1095"/>
      <c r="AG398" s="236"/>
      <c r="AH398" s="236"/>
      <c r="AI398" s="236">
        <f t="shared" si="178"/>
        <v>1050</v>
      </c>
      <c r="AJ398" s="236"/>
      <c r="AK398" s="236">
        <f>I398</f>
        <v>1050</v>
      </c>
      <c r="AN398" s="236"/>
      <c r="AO398" s="236"/>
      <c r="AQ398" s="236">
        <f t="shared" si="180"/>
        <v>1050</v>
      </c>
      <c r="AR398" s="236"/>
      <c r="AS398" s="236"/>
      <c r="AT398" s="236"/>
      <c r="AU398" s="11">
        <f>I398/21</f>
        <v>50</v>
      </c>
      <c r="BS398" s="288"/>
      <c r="BT398" s="288"/>
      <c r="BU398" s="288"/>
      <c r="BV398" s="288"/>
      <c r="BW398" s="288"/>
      <c r="BX398" s="288"/>
      <c r="CB398" s="288"/>
      <c r="CC398" s="288"/>
      <c r="CD398" s="288"/>
      <c r="CE398" s="288"/>
      <c r="CF398" s="288"/>
      <c r="CG398" s="288"/>
    </row>
  </sheetData>
  <sheetProtection selectLockedCells="1" autoFilter="0"/>
  <autoFilter xmlns:etc="http://www.wps.cn/officeDocument/2017/etCustomData" ref="A1:XFD313" etc:filterBottomFollowUsedRange="0">
    <filterColumn colId="6">
      <filters>
        <filter val="77485GQ7-S001"/>
      </filters>
    </filterColumn>
    <extLst/>
  </autoFilter>
  <mergeCells count="4">
    <mergeCell ref="AD327:AD328"/>
    <mergeCell ref="AE327:AE328"/>
    <mergeCell ref="AG36:AG42"/>
    <mergeCell ref="AG43:AG44"/>
  </mergeCells>
  <conditionalFormatting sqref="R1:T1">
    <cfRule type="cellIs" dxfId="0" priority="14232" operator="equal">
      <formula>"欠"</formula>
    </cfRule>
  </conditionalFormatting>
  <conditionalFormatting sqref="AA1:AB1">
    <cfRule type="cellIs" dxfId="0" priority="14209" operator="equal">
      <formula>"未完成"</formula>
    </cfRule>
  </conditionalFormatting>
  <conditionalFormatting sqref="AD1:AH1">
    <cfRule type="cellIs" dxfId="1" priority="14230" operator="equal">
      <formula>"未完成"</formula>
    </cfRule>
    <cfRule type="cellIs" dxfId="0" priority="14231" operator="equal">
      <formula>"未完成"</formula>
    </cfRule>
  </conditionalFormatting>
  <conditionalFormatting sqref="R2">
    <cfRule type="cellIs" dxfId="0" priority="6535" operator="equal">
      <formula>"欠"</formula>
    </cfRule>
  </conditionalFormatting>
  <conditionalFormatting sqref="T2">
    <cfRule type="cellIs" dxfId="0" priority="6536" operator="equal">
      <formula>"欠"</formula>
    </cfRule>
  </conditionalFormatting>
  <conditionalFormatting sqref="AC2">
    <cfRule type="cellIs" dxfId="0" priority="6547" operator="equal">
      <formula>"未完成"</formula>
    </cfRule>
  </conditionalFormatting>
  <conditionalFormatting sqref="AG2:AH2">
    <cfRule type="cellIs" dxfId="1" priority="6545" operator="equal">
      <formula>"未完成"</formula>
    </cfRule>
    <cfRule type="cellIs" dxfId="0" priority="6546" operator="equal">
      <formula>"未完成"</formula>
    </cfRule>
  </conditionalFormatting>
  <conditionalFormatting sqref="AJ2">
    <cfRule type="cellIs" dxfId="1" priority="6537" operator="equal">
      <formula>"未完成"</formula>
    </cfRule>
    <cfRule type="cellIs" dxfId="0" priority="6538" operator="equal">
      <formula>"未完成"</formula>
    </cfRule>
  </conditionalFormatting>
  <conditionalFormatting sqref="AK2">
    <cfRule type="cellIs" dxfId="1" priority="6533" operator="equal">
      <formula>"未完成"</formula>
    </cfRule>
    <cfRule type="cellIs" dxfId="0" priority="6534" operator="equal">
      <formula>"未完成"</formula>
    </cfRule>
  </conditionalFormatting>
  <conditionalFormatting sqref="AN2:AO2">
    <cfRule type="cellIs" dxfId="1" priority="6543" operator="equal">
      <formula>"未完成"</formula>
    </cfRule>
    <cfRule type="cellIs" dxfId="0" priority="6544" operator="equal">
      <formula>"未完成"</formula>
    </cfRule>
  </conditionalFormatting>
  <conditionalFormatting sqref="AR2:AT2">
    <cfRule type="cellIs" dxfId="1" priority="6539" operator="equal">
      <formula>"未完成"</formula>
    </cfRule>
    <cfRule type="cellIs" dxfId="0" priority="6540" operator="equal">
      <formula>"未完成"</formula>
    </cfRule>
  </conditionalFormatting>
  <conditionalFormatting sqref="R3">
    <cfRule type="cellIs" dxfId="0" priority="6487" operator="equal">
      <formula>"欠"</formula>
    </cfRule>
  </conditionalFormatting>
  <conditionalFormatting sqref="T3">
    <cfRule type="cellIs" dxfId="0" priority="6489" operator="equal">
      <formula>"欠"</formula>
    </cfRule>
  </conditionalFormatting>
  <conditionalFormatting sqref="AC3">
    <cfRule type="cellIs" dxfId="0" priority="6511" operator="equal">
      <formula>"未完成"</formula>
    </cfRule>
  </conditionalFormatting>
  <conditionalFormatting sqref="AG3:AH3">
    <cfRule type="cellIs" dxfId="1" priority="6507" operator="equal">
      <formula>"未完成"</formula>
    </cfRule>
    <cfRule type="cellIs" dxfId="0" priority="6509" operator="equal">
      <formula>"未完成"</formula>
    </cfRule>
  </conditionalFormatting>
  <conditionalFormatting sqref="AJ3">
    <cfRule type="cellIs" dxfId="1" priority="6491" operator="equal">
      <formula>"未完成"</formula>
    </cfRule>
    <cfRule type="cellIs" dxfId="0" priority="6493" operator="equal">
      <formula>"未完成"</formula>
    </cfRule>
  </conditionalFormatting>
  <conditionalFormatting sqref="AK3">
    <cfRule type="cellIs" dxfId="1" priority="6483" operator="equal">
      <formula>"未完成"</formula>
    </cfRule>
    <cfRule type="cellIs" dxfId="0" priority="6485" operator="equal">
      <formula>"未完成"</formula>
    </cfRule>
  </conditionalFormatting>
  <conditionalFormatting sqref="AN3:AO3">
    <cfRule type="cellIs" dxfId="1" priority="6503" operator="equal">
      <formula>"未完成"</formula>
    </cfRule>
    <cfRule type="cellIs" dxfId="0" priority="6505" operator="equal">
      <formula>"未完成"</formula>
    </cfRule>
  </conditionalFormatting>
  <conditionalFormatting sqref="AR3:AT3">
    <cfRule type="cellIs" dxfId="1" priority="6495" operator="equal">
      <formula>"未完成"</formula>
    </cfRule>
    <cfRule type="cellIs" dxfId="0" priority="6497" operator="equal">
      <formula>"未完成"</formula>
    </cfRule>
  </conditionalFormatting>
  <conditionalFormatting sqref="R4">
    <cfRule type="cellIs" dxfId="0" priority="6486" operator="equal">
      <formula>"欠"</formula>
    </cfRule>
  </conditionalFormatting>
  <conditionalFormatting sqref="T4">
    <cfRule type="cellIs" dxfId="0" priority="6488" operator="equal">
      <formula>"欠"</formula>
    </cfRule>
  </conditionalFormatting>
  <conditionalFormatting sqref="AC4">
    <cfRule type="cellIs" dxfId="0" priority="6510" operator="equal">
      <formula>"未完成"</formula>
    </cfRule>
  </conditionalFormatting>
  <conditionalFormatting sqref="AG4:AH4">
    <cfRule type="cellIs" dxfId="1" priority="6506" operator="equal">
      <formula>"未完成"</formula>
    </cfRule>
    <cfRule type="cellIs" dxfId="0" priority="6508" operator="equal">
      <formula>"未完成"</formula>
    </cfRule>
  </conditionalFormatting>
  <conditionalFormatting sqref="AJ4">
    <cfRule type="cellIs" dxfId="1" priority="6490" operator="equal">
      <formula>"未完成"</formula>
    </cfRule>
    <cfRule type="cellIs" dxfId="0" priority="6492" operator="equal">
      <formula>"未完成"</formula>
    </cfRule>
  </conditionalFormatting>
  <conditionalFormatting sqref="AK4">
    <cfRule type="cellIs" dxfId="1" priority="6482" operator="equal">
      <formula>"未完成"</formula>
    </cfRule>
    <cfRule type="cellIs" dxfId="0" priority="6484" operator="equal">
      <formula>"未完成"</formula>
    </cfRule>
  </conditionalFormatting>
  <conditionalFormatting sqref="AN4:AO4">
    <cfRule type="cellIs" dxfId="1" priority="6502" operator="equal">
      <formula>"未完成"</formula>
    </cfRule>
    <cfRule type="cellIs" dxfId="0" priority="6504" operator="equal">
      <formula>"未完成"</formula>
    </cfRule>
  </conditionalFormatting>
  <conditionalFormatting sqref="AR4:AT4">
    <cfRule type="cellIs" dxfId="1" priority="6494" operator="equal">
      <formula>"未完成"</formula>
    </cfRule>
    <cfRule type="cellIs" dxfId="0" priority="6496" operator="equal">
      <formula>"未完成"</formula>
    </cfRule>
  </conditionalFormatting>
  <conditionalFormatting sqref="R5">
    <cfRule type="cellIs" dxfId="0" priority="6427" operator="equal">
      <formula>"欠"</formula>
    </cfRule>
  </conditionalFormatting>
  <conditionalFormatting sqref="T5">
    <cfRule type="cellIs" dxfId="0" priority="6428" operator="equal">
      <formula>"欠"</formula>
    </cfRule>
  </conditionalFormatting>
  <conditionalFormatting sqref="AC5">
    <cfRule type="cellIs" dxfId="0" priority="6439" operator="equal">
      <formula>"未完成"</formula>
    </cfRule>
  </conditionalFormatting>
  <conditionalFormatting sqref="AG5:AH5">
    <cfRule type="cellIs" dxfId="1" priority="6437" operator="equal">
      <formula>"未完成"</formula>
    </cfRule>
    <cfRule type="cellIs" dxfId="0" priority="6438" operator="equal">
      <formula>"未完成"</formula>
    </cfRule>
  </conditionalFormatting>
  <conditionalFormatting sqref="AJ5">
    <cfRule type="cellIs" dxfId="1" priority="6429" operator="equal">
      <formula>"未完成"</formula>
    </cfRule>
    <cfRule type="cellIs" dxfId="0" priority="6430" operator="equal">
      <formula>"未完成"</formula>
    </cfRule>
  </conditionalFormatting>
  <conditionalFormatting sqref="AK5">
    <cfRule type="cellIs" dxfId="1" priority="6425" operator="equal">
      <formula>"未完成"</formula>
    </cfRule>
    <cfRule type="cellIs" dxfId="0" priority="6426" operator="equal">
      <formula>"未完成"</formula>
    </cfRule>
  </conditionalFormatting>
  <conditionalFormatting sqref="AN5:AO5">
    <cfRule type="cellIs" dxfId="1" priority="6435" operator="equal">
      <formula>"未完成"</formula>
    </cfRule>
    <cfRule type="cellIs" dxfId="0" priority="6436" operator="equal">
      <formula>"未完成"</formula>
    </cfRule>
  </conditionalFormatting>
  <conditionalFormatting sqref="AR5:AT5">
    <cfRule type="cellIs" dxfId="1" priority="6431" operator="equal">
      <formula>"未完成"</formula>
    </cfRule>
    <cfRule type="cellIs" dxfId="0" priority="6432" operator="equal">
      <formula>"未完成"</formula>
    </cfRule>
  </conditionalFormatting>
  <conditionalFormatting sqref="R6">
    <cfRule type="cellIs" dxfId="0" priority="6304" operator="equal">
      <formula>"欠"</formula>
    </cfRule>
  </conditionalFormatting>
  <conditionalFormatting sqref="T6">
    <cfRule type="cellIs" dxfId="0" priority="6314" operator="equal">
      <formula>"欠"</formula>
    </cfRule>
  </conditionalFormatting>
  <conditionalFormatting sqref="AC6">
    <cfRule type="cellIs" dxfId="0" priority="6424" operator="equal">
      <formula>"未完成"</formula>
    </cfRule>
  </conditionalFormatting>
  <conditionalFormatting sqref="AG6:AH6">
    <cfRule type="cellIs" dxfId="1" priority="6404" operator="equal">
      <formula>"未完成"</formula>
    </cfRule>
    <cfRule type="cellIs" dxfId="0" priority="6414" operator="equal">
      <formula>"未完成"</formula>
    </cfRule>
  </conditionalFormatting>
  <conditionalFormatting sqref="AJ6">
    <cfRule type="cellIs" dxfId="1" priority="6324" operator="equal">
      <formula>"未完成"</formula>
    </cfRule>
    <cfRule type="cellIs" dxfId="0" priority="6334" operator="equal">
      <formula>"未完成"</formula>
    </cfRule>
  </conditionalFormatting>
  <conditionalFormatting sqref="AK6">
    <cfRule type="cellIs" dxfId="1" priority="6284" operator="equal">
      <formula>"未完成"</formula>
    </cfRule>
    <cfRule type="cellIs" dxfId="0" priority="6294" operator="equal">
      <formula>"未完成"</formula>
    </cfRule>
  </conditionalFormatting>
  <conditionalFormatting sqref="AN6:AO6">
    <cfRule type="cellIs" dxfId="1" priority="6384" operator="equal">
      <formula>"未完成"</formula>
    </cfRule>
    <cfRule type="cellIs" dxfId="0" priority="6394" operator="equal">
      <formula>"未完成"</formula>
    </cfRule>
  </conditionalFormatting>
  <conditionalFormatting sqref="AR6:AT6">
    <cfRule type="cellIs" dxfId="1" priority="6344" operator="equal">
      <formula>"未完成"</formula>
    </cfRule>
    <cfRule type="cellIs" dxfId="0" priority="6354" operator="equal">
      <formula>"未完成"</formula>
    </cfRule>
  </conditionalFormatting>
  <conditionalFormatting sqref="R7">
    <cfRule type="cellIs" dxfId="0" priority="6303" operator="equal">
      <formula>"欠"</formula>
    </cfRule>
  </conditionalFormatting>
  <conditionalFormatting sqref="T7">
    <cfRule type="cellIs" dxfId="0" priority="6313" operator="equal">
      <formula>"欠"</formula>
    </cfRule>
  </conditionalFormatting>
  <conditionalFormatting sqref="AC7">
    <cfRule type="cellIs" dxfId="0" priority="6423" operator="equal">
      <formula>"未完成"</formula>
    </cfRule>
  </conditionalFormatting>
  <conditionalFormatting sqref="AG7:AH7">
    <cfRule type="cellIs" dxfId="1" priority="6403" operator="equal">
      <formula>"未完成"</formula>
    </cfRule>
    <cfRule type="cellIs" dxfId="0" priority="6413" operator="equal">
      <formula>"未完成"</formula>
    </cfRule>
  </conditionalFormatting>
  <conditionalFormatting sqref="AJ7">
    <cfRule type="cellIs" dxfId="1" priority="6323" operator="equal">
      <formula>"未完成"</formula>
    </cfRule>
    <cfRule type="cellIs" dxfId="0" priority="6333" operator="equal">
      <formula>"未完成"</formula>
    </cfRule>
  </conditionalFormatting>
  <conditionalFormatting sqref="AK7">
    <cfRule type="cellIs" dxfId="1" priority="6283" operator="equal">
      <formula>"未完成"</formula>
    </cfRule>
    <cfRule type="cellIs" dxfId="0" priority="6293" operator="equal">
      <formula>"未完成"</formula>
    </cfRule>
  </conditionalFormatting>
  <conditionalFormatting sqref="AN7:AO7">
    <cfRule type="cellIs" dxfId="1" priority="6383" operator="equal">
      <formula>"未完成"</formula>
    </cfRule>
    <cfRule type="cellIs" dxfId="0" priority="6393" operator="equal">
      <formula>"未完成"</formula>
    </cfRule>
  </conditionalFormatting>
  <conditionalFormatting sqref="AQ7">
    <cfRule type="cellIs" dxfId="1" priority="6363" operator="equal">
      <formula>"未完成"</formula>
    </cfRule>
    <cfRule type="cellIs" dxfId="0" priority="6373" operator="equal">
      <formula>"未完成"</formula>
    </cfRule>
  </conditionalFormatting>
  <conditionalFormatting sqref="AR7:AT7">
    <cfRule type="cellIs" dxfId="1" priority="6343" operator="equal">
      <formula>"未完成"</formula>
    </cfRule>
    <cfRule type="cellIs" dxfId="0" priority="6353" operator="equal">
      <formula>"未完成"</formula>
    </cfRule>
  </conditionalFormatting>
  <conditionalFormatting sqref="R8">
    <cfRule type="cellIs" dxfId="0" priority="6302" operator="equal">
      <formula>"欠"</formula>
    </cfRule>
  </conditionalFormatting>
  <conditionalFormatting sqref="T8">
    <cfRule type="cellIs" dxfId="0" priority="6312" operator="equal">
      <formula>"欠"</formula>
    </cfRule>
  </conditionalFormatting>
  <conditionalFormatting sqref="AC8">
    <cfRule type="cellIs" dxfId="0" priority="6422" operator="equal">
      <formula>"未完成"</formula>
    </cfRule>
  </conditionalFormatting>
  <conditionalFormatting sqref="AG8:AH8">
    <cfRule type="cellIs" dxfId="1" priority="6402" operator="equal">
      <formula>"未完成"</formula>
    </cfRule>
    <cfRule type="cellIs" dxfId="0" priority="6412" operator="equal">
      <formula>"未完成"</formula>
    </cfRule>
  </conditionalFormatting>
  <conditionalFormatting sqref="AJ8">
    <cfRule type="cellIs" dxfId="1" priority="6322" operator="equal">
      <formula>"未完成"</formula>
    </cfRule>
    <cfRule type="cellIs" dxfId="0" priority="6332" operator="equal">
      <formula>"未完成"</formula>
    </cfRule>
  </conditionalFormatting>
  <conditionalFormatting sqref="AN8:AO8">
    <cfRule type="cellIs" dxfId="1" priority="6382" operator="equal">
      <formula>"未完成"</formula>
    </cfRule>
    <cfRule type="cellIs" dxfId="0" priority="6392" operator="equal">
      <formula>"未完成"</formula>
    </cfRule>
  </conditionalFormatting>
  <conditionalFormatting sqref="AR8:AT8">
    <cfRule type="cellIs" dxfId="1" priority="6342" operator="equal">
      <formula>"未完成"</formula>
    </cfRule>
    <cfRule type="cellIs" dxfId="0" priority="6352" operator="equal">
      <formula>"未完成"</formula>
    </cfRule>
  </conditionalFormatting>
  <conditionalFormatting sqref="R9">
    <cfRule type="cellIs" dxfId="0" priority="6301" operator="equal">
      <formula>"欠"</formula>
    </cfRule>
  </conditionalFormatting>
  <conditionalFormatting sqref="T9">
    <cfRule type="cellIs" dxfId="0" priority="6311" operator="equal">
      <formula>"欠"</formula>
    </cfRule>
  </conditionalFormatting>
  <conditionalFormatting sqref="AC9">
    <cfRule type="cellIs" dxfId="0" priority="6421" operator="equal">
      <formula>"未完成"</formula>
    </cfRule>
  </conditionalFormatting>
  <conditionalFormatting sqref="AG9:AH9">
    <cfRule type="cellIs" dxfId="1" priority="6401" operator="equal">
      <formula>"未完成"</formula>
    </cfRule>
    <cfRule type="cellIs" dxfId="0" priority="6411" operator="equal">
      <formula>"未完成"</formula>
    </cfRule>
  </conditionalFormatting>
  <conditionalFormatting sqref="AJ9">
    <cfRule type="cellIs" dxfId="1" priority="6321" operator="equal">
      <formula>"未完成"</formula>
    </cfRule>
    <cfRule type="cellIs" dxfId="0" priority="6331" operator="equal">
      <formula>"未完成"</formula>
    </cfRule>
  </conditionalFormatting>
  <conditionalFormatting sqref="AN9:AO9">
    <cfRule type="cellIs" dxfId="1" priority="6381" operator="equal">
      <formula>"未完成"</formula>
    </cfRule>
    <cfRule type="cellIs" dxfId="0" priority="6391" operator="equal">
      <formula>"未完成"</formula>
    </cfRule>
  </conditionalFormatting>
  <conditionalFormatting sqref="AQ9">
    <cfRule type="cellIs" dxfId="1" priority="6361" operator="equal">
      <formula>"未完成"</formula>
    </cfRule>
    <cfRule type="cellIs" dxfId="0" priority="6371" operator="equal">
      <formula>"未完成"</formula>
    </cfRule>
  </conditionalFormatting>
  <conditionalFormatting sqref="AR9:AT9">
    <cfRule type="cellIs" dxfId="1" priority="6341" operator="equal">
      <formula>"未完成"</formula>
    </cfRule>
    <cfRule type="cellIs" dxfId="0" priority="6351" operator="equal">
      <formula>"未完成"</formula>
    </cfRule>
  </conditionalFormatting>
  <conditionalFormatting sqref="R10">
    <cfRule type="cellIs" dxfId="0" priority="6300" operator="equal">
      <formula>"欠"</formula>
    </cfRule>
  </conditionalFormatting>
  <conditionalFormatting sqref="T10">
    <cfRule type="cellIs" dxfId="0" priority="6310" operator="equal">
      <formula>"欠"</formula>
    </cfRule>
  </conditionalFormatting>
  <conditionalFormatting sqref="AC10">
    <cfRule type="cellIs" dxfId="0" priority="6420" operator="equal">
      <formula>"未完成"</formula>
    </cfRule>
  </conditionalFormatting>
  <conditionalFormatting sqref="AG10:AH10">
    <cfRule type="cellIs" dxfId="1" priority="6400" operator="equal">
      <formula>"未完成"</formula>
    </cfRule>
    <cfRule type="cellIs" dxfId="0" priority="6410" operator="equal">
      <formula>"未完成"</formula>
    </cfRule>
  </conditionalFormatting>
  <conditionalFormatting sqref="AJ10">
    <cfRule type="cellIs" dxfId="1" priority="6320" operator="equal">
      <formula>"未完成"</formula>
    </cfRule>
    <cfRule type="cellIs" dxfId="0" priority="6330" operator="equal">
      <formula>"未完成"</formula>
    </cfRule>
  </conditionalFormatting>
  <conditionalFormatting sqref="AN10:AO10">
    <cfRule type="cellIs" dxfId="1" priority="6380" operator="equal">
      <formula>"未完成"</formula>
    </cfRule>
    <cfRule type="cellIs" dxfId="0" priority="6390" operator="equal">
      <formula>"未完成"</formula>
    </cfRule>
  </conditionalFormatting>
  <conditionalFormatting sqref="AQ10">
    <cfRule type="cellIs" dxfId="1" priority="6360" operator="equal">
      <formula>"未完成"</formula>
    </cfRule>
    <cfRule type="cellIs" dxfId="0" priority="6370" operator="equal">
      <formula>"未完成"</formula>
    </cfRule>
  </conditionalFormatting>
  <conditionalFormatting sqref="AR10:AT10">
    <cfRule type="cellIs" dxfId="1" priority="6340" operator="equal">
      <formula>"未完成"</formula>
    </cfRule>
    <cfRule type="cellIs" dxfId="0" priority="6350" operator="equal">
      <formula>"未完成"</formula>
    </cfRule>
  </conditionalFormatting>
  <conditionalFormatting sqref="R11">
    <cfRule type="cellIs" dxfId="0" priority="6299" operator="equal">
      <formula>"欠"</formula>
    </cfRule>
  </conditionalFormatting>
  <conditionalFormatting sqref="T11">
    <cfRule type="cellIs" dxfId="0" priority="6309" operator="equal">
      <formula>"欠"</formula>
    </cfRule>
  </conditionalFormatting>
  <conditionalFormatting sqref="AC11">
    <cfRule type="cellIs" dxfId="0" priority="6419" operator="equal">
      <formula>"未完成"</formula>
    </cfRule>
  </conditionalFormatting>
  <conditionalFormatting sqref="AG11:AH11">
    <cfRule type="cellIs" dxfId="1" priority="6399" operator="equal">
      <formula>"未完成"</formula>
    </cfRule>
    <cfRule type="cellIs" dxfId="0" priority="6409" operator="equal">
      <formula>"未完成"</formula>
    </cfRule>
  </conditionalFormatting>
  <conditionalFormatting sqref="AJ11">
    <cfRule type="cellIs" dxfId="1" priority="6319" operator="equal">
      <formula>"未完成"</formula>
    </cfRule>
    <cfRule type="cellIs" dxfId="0" priority="6329" operator="equal">
      <formula>"未完成"</formula>
    </cfRule>
  </conditionalFormatting>
  <conditionalFormatting sqref="AN11:AO11">
    <cfRule type="cellIs" dxfId="1" priority="6379" operator="equal">
      <formula>"未完成"</formula>
    </cfRule>
    <cfRule type="cellIs" dxfId="0" priority="6389" operator="equal">
      <formula>"未完成"</formula>
    </cfRule>
  </conditionalFormatting>
  <conditionalFormatting sqref="AQ11">
    <cfRule type="cellIs" dxfId="1" priority="6359" operator="equal">
      <formula>"未完成"</formula>
    </cfRule>
    <cfRule type="cellIs" dxfId="0" priority="6369" operator="equal">
      <formula>"未完成"</formula>
    </cfRule>
  </conditionalFormatting>
  <conditionalFormatting sqref="AR11:AT11">
    <cfRule type="cellIs" dxfId="1" priority="6339" operator="equal">
      <formula>"未完成"</formula>
    </cfRule>
    <cfRule type="cellIs" dxfId="0" priority="6349" operator="equal">
      <formula>"未完成"</formula>
    </cfRule>
  </conditionalFormatting>
  <conditionalFormatting sqref="R12">
    <cfRule type="cellIs" dxfId="0" priority="6298" operator="equal">
      <formula>"欠"</formula>
    </cfRule>
  </conditionalFormatting>
  <conditionalFormatting sqref="T12">
    <cfRule type="cellIs" dxfId="0" priority="6308" operator="equal">
      <formula>"欠"</formula>
    </cfRule>
  </conditionalFormatting>
  <conditionalFormatting sqref="AC12">
    <cfRule type="cellIs" dxfId="0" priority="6418" operator="equal">
      <formula>"未完成"</formula>
    </cfRule>
  </conditionalFormatting>
  <conditionalFormatting sqref="AG12:AH12">
    <cfRule type="cellIs" dxfId="1" priority="6398" operator="equal">
      <formula>"未完成"</formula>
    </cfRule>
    <cfRule type="cellIs" dxfId="0" priority="6408" operator="equal">
      <formula>"未完成"</formula>
    </cfRule>
  </conditionalFormatting>
  <conditionalFormatting sqref="AJ12">
    <cfRule type="cellIs" dxfId="1" priority="6318" operator="equal">
      <formula>"未完成"</formula>
    </cfRule>
    <cfRule type="cellIs" dxfId="0" priority="6328" operator="equal">
      <formula>"未完成"</formula>
    </cfRule>
  </conditionalFormatting>
  <conditionalFormatting sqref="AN12:AO12">
    <cfRule type="cellIs" dxfId="1" priority="6378" operator="equal">
      <formula>"未完成"</formula>
    </cfRule>
    <cfRule type="cellIs" dxfId="0" priority="6388" operator="equal">
      <formula>"未完成"</formula>
    </cfRule>
  </conditionalFormatting>
  <conditionalFormatting sqref="AQ12">
    <cfRule type="cellIs" dxfId="1" priority="6358" operator="equal">
      <formula>"未完成"</formula>
    </cfRule>
    <cfRule type="cellIs" dxfId="0" priority="6368" operator="equal">
      <formula>"未完成"</formula>
    </cfRule>
  </conditionalFormatting>
  <conditionalFormatting sqref="AR12:AT12">
    <cfRule type="cellIs" dxfId="1" priority="6338" operator="equal">
      <formula>"未完成"</formula>
    </cfRule>
    <cfRule type="cellIs" dxfId="0" priority="6348" operator="equal">
      <formula>"未完成"</formula>
    </cfRule>
  </conditionalFormatting>
  <conditionalFormatting sqref="R13">
    <cfRule type="cellIs" dxfId="0" priority="6297" operator="equal">
      <formula>"欠"</formula>
    </cfRule>
  </conditionalFormatting>
  <conditionalFormatting sqref="T13">
    <cfRule type="cellIs" dxfId="0" priority="6307" operator="equal">
      <formula>"欠"</formula>
    </cfRule>
  </conditionalFormatting>
  <conditionalFormatting sqref="AC13">
    <cfRule type="cellIs" dxfId="0" priority="6417" operator="equal">
      <formula>"未完成"</formula>
    </cfRule>
  </conditionalFormatting>
  <conditionalFormatting sqref="AG13:AH13">
    <cfRule type="cellIs" dxfId="1" priority="6397" operator="equal">
      <formula>"未完成"</formula>
    </cfRule>
    <cfRule type="cellIs" dxfId="0" priority="6407" operator="equal">
      <formula>"未完成"</formula>
    </cfRule>
  </conditionalFormatting>
  <conditionalFormatting sqref="AJ13">
    <cfRule type="cellIs" dxfId="1" priority="6317" operator="equal">
      <formula>"未完成"</formula>
    </cfRule>
    <cfRule type="cellIs" dxfId="0" priority="6327" operator="equal">
      <formula>"未完成"</formula>
    </cfRule>
  </conditionalFormatting>
  <conditionalFormatting sqref="AN13:AO13">
    <cfRule type="cellIs" dxfId="1" priority="6377" operator="equal">
      <formula>"未完成"</formula>
    </cfRule>
    <cfRule type="cellIs" dxfId="0" priority="6387" operator="equal">
      <formula>"未完成"</formula>
    </cfRule>
  </conditionalFormatting>
  <conditionalFormatting sqref="AQ13">
    <cfRule type="cellIs" dxfId="1" priority="6357" operator="equal">
      <formula>"未完成"</formula>
    </cfRule>
    <cfRule type="cellIs" dxfId="0" priority="6367" operator="equal">
      <formula>"未完成"</formula>
    </cfRule>
  </conditionalFormatting>
  <conditionalFormatting sqref="AR13:AT13">
    <cfRule type="cellIs" dxfId="1" priority="6337" operator="equal">
      <formula>"未完成"</formula>
    </cfRule>
    <cfRule type="cellIs" dxfId="0" priority="6347" operator="equal">
      <formula>"未完成"</formula>
    </cfRule>
  </conditionalFormatting>
  <conditionalFormatting sqref="R14">
    <cfRule type="cellIs" dxfId="0" priority="6296" operator="equal">
      <formula>"欠"</formula>
    </cfRule>
  </conditionalFormatting>
  <conditionalFormatting sqref="T14">
    <cfRule type="cellIs" dxfId="0" priority="6306" operator="equal">
      <formula>"欠"</formula>
    </cfRule>
  </conditionalFormatting>
  <conditionalFormatting sqref="AC14">
    <cfRule type="cellIs" dxfId="0" priority="6416" operator="equal">
      <formula>"未完成"</formula>
    </cfRule>
  </conditionalFormatting>
  <conditionalFormatting sqref="AG14:AH14">
    <cfRule type="cellIs" dxfId="1" priority="6396" operator="equal">
      <formula>"未完成"</formula>
    </cfRule>
    <cfRule type="cellIs" dxfId="0" priority="6406" operator="equal">
      <formula>"未完成"</formula>
    </cfRule>
  </conditionalFormatting>
  <conditionalFormatting sqref="AJ14">
    <cfRule type="cellIs" dxfId="1" priority="6316" operator="equal">
      <formula>"未完成"</formula>
    </cfRule>
    <cfRule type="cellIs" dxfId="0" priority="6326" operator="equal">
      <formula>"未完成"</formula>
    </cfRule>
  </conditionalFormatting>
  <conditionalFormatting sqref="AN14:AO14">
    <cfRule type="cellIs" dxfId="1" priority="6376" operator="equal">
      <formula>"未完成"</formula>
    </cfRule>
    <cfRule type="cellIs" dxfId="0" priority="6386" operator="equal">
      <formula>"未完成"</formula>
    </cfRule>
  </conditionalFormatting>
  <conditionalFormatting sqref="AQ14">
    <cfRule type="cellIs" dxfId="1" priority="6356" operator="equal">
      <formula>"未完成"</formula>
    </cfRule>
    <cfRule type="cellIs" dxfId="0" priority="6366" operator="equal">
      <formula>"未完成"</formula>
    </cfRule>
  </conditionalFormatting>
  <conditionalFormatting sqref="AR14:AT14">
    <cfRule type="cellIs" dxfId="1" priority="6336" operator="equal">
      <formula>"未完成"</formula>
    </cfRule>
    <cfRule type="cellIs" dxfId="0" priority="6346" operator="equal">
      <formula>"未完成"</formula>
    </cfRule>
  </conditionalFormatting>
  <conditionalFormatting sqref="R15">
    <cfRule type="cellIs" dxfId="0" priority="6295" operator="equal">
      <formula>"欠"</formula>
    </cfRule>
  </conditionalFormatting>
  <conditionalFormatting sqref="T15">
    <cfRule type="cellIs" dxfId="0" priority="6305" operator="equal">
      <formula>"欠"</formula>
    </cfRule>
  </conditionalFormatting>
  <conditionalFormatting sqref="AC15">
    <cfRule type="cellIs" dxfId="0" priority="6415" operator="equal">
      <formula>"未完成"</formula>
    </cfRule>
  </conditionalFormatting>
  <conditionalFormatting sqref="AG15:AH15">
    <cfRule type="cellIs" dxfId="1" priority="6395" operator="equal">
      <formula>"未完成"</formula>
    </cfRule>
    <cfRule type="cellIs" dxfId="0" priority="6405" operator="equal">
      <formula>"未完成"</formula>
    </cfRule>
  </conditionalFormatting>
  <conditionalFormatting sqref="AJ15">
    <cfRule type="cellIs" dxfId="1" priority="6315" operator="equal">
      <formula>"未完成"</formula>
    </cfRule>
    <cfRule type="cellIs" dxfId="0" priority="6325" operator="equal">
      <formula>"未完成"</formula>
    </cfRule>
  </conditionalFormatting>
  <conditionalFormatting sqref="AN15:AO15">
    <cfRule type="cellIs" dxfId="1" priority="6375" operator="equal">
      <formula>"未完成"</formula>
    </cfRule>
    <cfRule type="cellIs" dxfId="0" priority="6385" operator="equal">
      <formula>"未完成"</formula>
    </cfRule>
  </conditionalFormatting>
  <conditionalFormatting sqref="AQ15">
    <cfRule type="cellIs" dxfId="1" priority="6355" operator="equal">
      <formula>"未完成"</formula>
    </cfRule>
    <cfRule type="cellIs" dxfId="0" priority="6365" operator="equal">
      <formula>"未完成"</formula>
    </cfRule>
  </conditionalFormatting>
  <conditionalFormatting sqref="AR15:AT15">
    <cfRule type="cellIs" dxfId="1" priority="6335" operator="equal">
      <formula>"未完成"</formula>
    </cfRule>
    <cfRule type="cellIs" dxfId="0" priority="6345" operator="equal">
      <formula>"未完成"</formula>
    </cfRule>
  </conditionalFormatting>
  <conditionalFormatting sqref="R16">
    <cfRule type="cellIs" dxfId="0" priority="6258" operator="equal">
      <formula>"欠"</formula>
    </cfRule>
  </conditionalFormatting>
  <conditionalFormatting sqref="T16">
    <cfRule type="cellIs" dxfId="0" priority="6259" operator="equal">
      <formula>"欠"</formula>
    </cfRule>
  </conditionalFormatting>
  <conditionalFormatting sqref="AC16">
    <cfRule type="cellIs" dxfId="0" priority="6270" operator="equal">
      <formula>"未完成"</formula>
    </cfRule>
  </conditionalFormatting>
  <conditionalFormatting sqref="AG16:AH16">
    <cfRule type="cellIs" dxfId="1" priority="6268" operator="equal">
      <formula>"未完成"</formula>
    </cfRule>
    <cfRule type="cellIs" dxfId="0" priority="6269" operator="equal">
      <formula>"未完成"</formula>
    </cfRule>
  </conditionalFormatting>
  <conditionalFormatting sqref="AI16">
    <cfRule type="cellIs" dxfId="1" priority="5707" operator="equal">
      <formula>"未完成"</formula>
    </cfRule>
    <cfRule type="cellIs" dxfId="0" priority="5708" operator="equal">
      <formula>"未完成"</formula>
    </cfRule>
  </conditionalFormatting>
  <conditionalFormatting sqref="AJ16">
    <cfRule type="cellIs" dxfId="1" priority="6260" operator="equal">
      <formula>"未完成"</formula>
    </cfRule>
    <cfRule type="cellIs" dxfId="0" priority="6261" operator="equal">
      <formula>"未完成"</formula>
    </cfRule>
  </conditionalFormatting>
  <conditionalFormatting sqref="AN16:AO16">
    <cfRule type="cellIs" dxfId="1" priority="6266" operator="equal">
      <formula>"未完成"</formula>
    </cfRule>
    <cfRule type="cellIs" dxfId="0" priority="6267" operator="equal">
      <formula>"未完成"</formula>
    </cfRule>
  </conditionalFormatting>
  <conditionalFormatting sqref="AQ16">
    <cfRule type="cellIs" dxfId="1" priority="6264" operator="equal">
      <formula>"未完成"</formula>
    </cfRule>
    <cfRule type="cellIs" dxfId="0" priority="6265" operator="equal">
      <formula>"未完成"</formula>
    </cfRule>
  </conditionalFormatting>
  <conditionalFormatting sqref="AR16:AT16">
    <cfRule type="cellIs" dxfId="1" priority="6262" operator="equal">
      <formula>"未完成"</formula>
    </cfRule>
    <cfRule type="cellIs" dxfId="0" priority="6263" operator="equal">
      <formula>"未完成"</formula>
    </cfRule>
  </conditionalFormatting>
  <conditionalFormatting sqref="R17">
    <cfRule type="cellIs" dxfId="0" priority="6243" operator="equal">
      <formula>"欠"</formula>
    </cfRule>
  </conditionalFormatting>
  <conditionalFormatting sqref="T17">
    <cfRule type="cellIs" dxfId="0" priority="6244" operator="equal">
      <formula>"欠"</formula>
    </cfRule>
  </conditionalFormatting>
  <conditionalFormatting sqref="AC17">
    <cfRule type="cellIs" dxfId="0" priority="6255" operator="equal">
      <formula>"未完成"</formula>
    </cfRule>
  </conditionalFormatting>
  <conditionalFormatting sqref="AG17:AH17">
    <cfRule type="cellIs" dxfId="1" priority="6253" operator="equal">
      <formula>"未完成"</formula>
    </cfRule>
    <cfRule type="cellIs" dxfId="0" priority="6254" operator="equal">
      <formula>"未完成"</formula>
    </cfRule>
  </conditionalFormatting>
  <conditionalFormatting sqref="AJ17">
    <cfRule type="cellIs" dxfId="1" priority="6245" operator="equal">
      <formula>"未完成"</formula>
    </cfRule>
    <cfRule type="cellIs" dxfId="0" priority="6246" operator="equal">
      <formula>"未完成"</formula>
    </cfRule>
  </conditionalFormatting>
  <conditionalFormatting sqref="AK17">
    <cfRule type="cellIs" dxfId="1" priority="6241" operator="equal">
      <formula>"未完成"</formula>
    </cfRule>
    <cfRule type="cellIs" dxfId="0" priority="6242" operator="equal">
      <formula>"未完成"</formula>
    </cfRule>
  </conditionalFormatting>
  <conditionalFormatting sqref="AN17:AO17">
    <cfRule type="cellIs" dxfId="1" priority="6251" operator="equal">
      <formula>"未完成"</formula>
    </cfRule>
    <cfRule type="cellIs" dxfId="0" priority="6252" operator="equal">
      <formula>"未完成"</formula>
    </cfRule>
  </conditionalFormatting>
  <conditionalFormatting sqref="AR17:AT17">
    <cfRule type="cellIs" dxfId="1" priority="6247" operator="equal">
      <formula>"未完成"</formula>
    </cfRule>
    <cfRule type="cellIs" dxfId="0" priority="6248" operator="equal">
      <formula>"未完成"</formula>
    </cfRule>
  </conditionalFormatting>
  <conditionalFormatting sqref="R18">
    <cfRule type="cellIs" dxfId="0" priority="6087" operator="equal">
      <formula>"欠"</formula>
    </cfRule>
  </conditionalFormatting>
  <conditionalFormatting sqref="T18">
    <cfRule type="cellIs" dxfId="0" priority="6098" operator="equal">
      <formula>"欠"</formula>
    </cfRule>
  </conditionalFormatting>
  <conditionalFormatting sqref="AC18">
    <cfRule type="cellIs" dxfId="0" priority="6219" operator="equal">
      <formula>"未完成"</formula>
    </cfRule>
  </conditionalFormatting>
  <conditionalFormatting sqref="AG18:AH18">
    <cfRule type="cellIs" dxfId="1" priority="6197" operator="equal">
      <formula>"未完成"</formula>
    </cfRule>
    <cfRule type="cellIs" dxfId="0" priority="6208" operator="equal">
      <formula>"未完成"</formula>
    </cfRule>
  </conditionalFormatting>
  <conditionalFormatting sqref="AJ18">
    <cfRule type="cellIs" dxfId="1" priority="6109" operator="equal">
      <formula>"未完成"</formula>
    </cfRule>
    <cfRule type="cellIs" dxfId="0" priority="6120" operator="equal">
      <formula>"未完成"</formula>
    </cfRule>
  </conditionalFormatting>
  <conditionalFormatting sqref="AK18">
    <cfRule type="cellIs" dxfId="1" priority="6065" operator="equal">
      <formula>"未完成"</formula>
    </cfRule>
    <cfRule type="cellIs" dxfId="0" priority="6076" operator="equal">
      <formula>"未完成"</formula>
    </cfRule>
  </conditionalFormatting>
  <conditionalFormatting sqref="AN18:AO18">
    <cfRule type="cellIs" dxfId="1" priority="6175" operator="equal">
      <formula>"未完成"</formula>
    </cfRule>
    <cfRule type="cellIs" dxfId="0" priority="6186" operator="equal">
      <formula>"未完成"</formula>
    </cfRule>
  </conditionalFormatting>
  <conditionalFormatting sqref="AR18:AT18">
    <cfRule type="cellIs" dxfId="1" priority="6131" operator="equal">
      <formula>"未完成"</formula>
    </cfRule>
    <cfRule type="cellIs" dxfId="0" priority="6142" operator="equal">
      <formula>"未完成"</formula>
    </cfRule>
  </conditionalFormatting>
  <conditionalFormatting sqref="R19">
    <cfRule type="cellIs" dxfId="0" priority="6086" operator="equal">
      <formula>"欠"</formula>
    </cfRule>
  </conditionalFormatting>
  <conditionalFormatting sqref="T19">
    <cfRule type="cellIs" dxfId="0" priority="6097" operator="equal">
      <formula>"欠"</formula>
    </cfRule>
  </conditionalFormatting>
  <conditionalFormatting sqref="AC19">
    <cfRule type="cellIs" dxfId="0" priority="6218" operator="equal">
      <formula>"未完成"</formula>
    </cfRule>
  </conditionalFormatting>
  <conditionalFormatting sqref="AG19:AH19">
    <cfRule type="cellIs" dxfId="1" priority="6196" operator="equal">
      <formula>"未完成"</formula>
    </cfRule>
    <cfRule type="cellIs" dxfId="0" priority="6207" operator="equal">
      <formula>"未完成"</formula>
    </cfRule>
  </conditionalFormatting>
  <conditionalFormatting sqref="AJ19">
    <cfRule type="cellIs" dxfId="1" priority="6108" operator="equal">
      <formula>"未完成"</formula>
    </cfRule>
    <cfRule type="cellIs" dxfId="0" priority="6119" operator="equal">
      <formula>"未完成"</formula>
    </cfRule>
  </conditionalFormatting>
  <conditionalFormatting sqref="AK19">
    <cfRule type="cellIs" dxfId="1" priority="6064" operator="equal">
      <formula>"未完成"</formula>
    </cfRule>
    <cfRule type="cellIs" dxfId="0" priority="6075" operator="equal">
      <formula>"未完成"</formula>
    </cfRule>
  </conditionalFormatting>
  <conditionalFormatting sqref="AN19:AO19">
    <cfRule type="cellIs" dxfId="1" priority="6174" operator="equal">
      <formula>"未完成"</formula>
    </cfRule>
    <cfRule type="cellIs" dxfId="0" priority="6185" operator="equal">
      <formula>"未完成"</formula>
    </cfRule>
  </conditionalFormatting>
  <conditionalFormatting sqref="AR19:AT19">
    <cfRule type="cellIs" dxfId="1" priority="6130" operator="equal">
      <formula>"未完成"</formula>
    </cfRule>
    <cfRule type="cellIs" dxfId="0" priority="6141" operator="equal">
      <formula>"未完成"</formula>
    </cfRule>
  </conditionalFormatting>
  <conditionalFormatting sqref="R20">
    <cfRule type="cellIs" dxfId="0" priority="6085" operator="equal">
      <formula>"欠"</formula>
    </cfRule>
  </conditionalFormatting>
  <conditionalFormatting sqref="T20">
    <cfRule type="cellIs" dxfId="0" priority="6096" operator="equal">
      <formula>"欠"</formula>
    </cfRule>
  </conditionalFormatting>
  <conditionalFormatting sqref="AC20">
    <cfRule type="cellIs" dxfId="0" priority="6217" operator="equal">
      <formula>"未完成"</formula>
    </cfRule>
  </conditionalFormatting>
  <conditionalFormatting sqref="AG20:AH20">
    <cfRule type="cellIs" dxfId="1" priority="6195" operator="equal">
      <formula>"未完成"</formula>
    </cfRule>
    <cfRule type="cellIs" dxfId="0" priority="6206" operator="equal">
      <formula>"未完成"</formula>
    </cfRule>
  </conditionalFormatting>
  <conditionalFormatting sqref="AJ20">
    <cfRule type="cellIs" dxfId="1" priority="6107" operator="equal">
      <formula>"未完成"</formula>
    </cfRule>
    <cfRule type="cellIs" dxfId="0" priority="6118" operator="equal">
      <formula>"未完成"</formula>
    </cfRule>
  </conditionalFormatting>
  <conditionalFormatting sqref="AK20">
    <cfRule type="cellIs" dxfId="1" priority="6063" operator="equal">
      <formula>"未完成"</formula>
    </cfRule>
    <cfRule type="cellIs" dxfId="0" priority="6074" operator="equal">
      <formula>"未完成"</formula>
    </cfRule>
  </conditionalFormatting>
  <conditionalFormatting sqref="AN20:AO20">
    <cfRule type="cellIs" dxfId="1" priority="6173" operator="equal">
      <formula>"未完成"</formula>
    </cfRule>
    <cfRule type="cellIs" dxfId="0" priority="6184" operator="equal">
      <formula>"未完成"</formula>
    </cfRule>
  </conditionalFormatting>
  <conditionalFormatting sqref="AR20:AT20">
    <cfRule type="cellIs" dxfId="1" priority="6129" operator="equal">
      <formula>"未完成"</formula>
    </cfRule>
    <cfRule type="cellIs" dxfId="0" priority="6140" operator="equal">
      <formula>"未完成"</formula>
    </cfRule>
  </conditionalFormatting>
  <conditionalFormatting sqref="R21">
    <cfRule type="cellIs" dxfId="0" priority="6084" operator="equal">
      <formula>"欠"</formula>
    </cfRule>
  </conditionalFormatting>
  <conditionalFormatting sqref="T21">
    <cfRule type="cellIs" dxfId="0" priority="6095" operator="equal">
      <formula>"欠"</formula>
    </cfRule>
  </conditionalFormatting>
  <conditionalFormatting sqref="AC21">
    <cfRule type="cellIs" dxfId="0" priority="6216" operator="equal">
      <formula>"未完成"</formula>
    </cfRule>
  </conditionalFormatting>
  <conditionalFormatting sqref="AG21:AH21">
    <cfRule type="cellIs" dxfId="1" priority="6194" operator="equal">
      <formula>"未完成"</formula>
    </cfRule>
    <cfRule type="cellIs" dxfId="0" priority="6205" operator="equal">
      <formula>"未完成"</formula>
    </cfRule>
  </conditionalFormatting>
  <conditionalFormatting sqref="AJ21">
    <cfRule type="cellIs" dxfId="1" priority="6106" operator="equal">
      <formula>"未完成"</formula>
    </cfRule>
    <cfRule type="cellIs" dxfId="0" priority="6117" operator="equal">
      <formula>"未完成"</formula>
    </cfRule>
  </conditionalFormatting>
  <conditionalFormatting sqref="AK21">
    <cfRule type="cellIs" dxfId="1" priority="6062" operator="equal">
      <formula>"未完成"</formula>
    </cfRule>
    <cfRule type="cellIs" dxfId="0" priority="6073" operator="equal">
      <formula>"未完成"</formula>
    </cfRule>
  </conditionalFormatting>
  <conditionalFormatting sqref="AN21:AO21">
    <cfRule type="cellIs" dxfId="1" priority="6172" operator="equal">
      <formula>"未完成"</formula>
    </cfRule>
    <cfRule type="cellIs" dxfId="0" priority="6183" operator="equal">
      <formula>"未完成"</formula>
    </cfRule>
  </conditionalFormatting>
  <conditionalFormatting sqref="AR21:AT21">
    <cfRule type="cellIs" dxfId="1" priority="6128" operator="equal">
      <formula>"未完成"</formula>
    </cfRule>
    <cfRule type="cellIs" dxfId="0" priority="6139" operator="equal">
      <formula>"未完成"</formula>
    </cfRule>
  </conditionalFormatting>
  <conditionalFormatting sqref="R22">
    <cfRule type="cellIs" dxfId="0" priority="6083" operator="equal">
      <formula>"欠"</formula>
    </cfRule>
  </conditionalFormatting>
  <conditionalFormatting sqref="T22">
    <cfRule type="cellIs" dxfId="0" priority="6094" operator="equal">
      <formula>"欠"</formula>
    </cfRule>
  </conditionalFormatting>
  <conditionalFormatting sqref="AC22">
    <cfRule type="cellIs" dxfId="0" priority="6215" operator="equal">
      <formula>"未完成"</formula>
    </cfRule>
  </conditionalFormatting>
  <conditionalFormatting sqref="AG22:AH22">
    <cfRule type="cellIs" dxfId="1" priority="6193" operator="equal">
      <formula>"未完成"</formula>
    </cfRule>
    <cfRule type="cellIs" dxfId="0" priority="6204" operator="equal">
      <formula>"未完成"</formula>
    </cfRule>
  </conditionalFormatting>
  <conditionalFormatting sqref="AN22:AO22">
    <cfRule type="cellIs" dxfId="1" priority="6171" operator="equal">
      <formula>"未完成"</formula>
    </cfRule>
    <cfRule type="cellIs" dxfId="0" priority="6182" operator="equal">
      <formula>"未完成"</formula>
    </cfRule>
  </conditionalFormatting>
  <conditionalFormatting sqref="AR22:AT22">
    <cfRule type="cellIs" dxfId="1" priority="6127" operator="equal">
      <formula>"未完成"</formula>
    </cfRule>
    <cfRule type="cellIs" dxfId="0" priority="6138" operator="equal">
      <formula>"未完成"</formula>
    </cfRule>
  </conditionalFormatting>
  <conditionalFormatting sqref="R23">
    <cfRule type="cellIs" dxfId="0" priority="6082" operator="equal">
      <formula>"欠"</formula>
    </cfRule>
  </conditionalFormatting>
  <conditionalFormatting sqref="T23">
    <cfRule type="cellIs" dxfId="0" priority="6093" operator="equal">
      <formula>"欠"</formula>
    </cfRule>
  </conditionalFormatting>
  <conditionalFormatting sqref="AC23">
    <cfRule type="cellIs" dxfId="0" priority="6214" operator="equal">
      <formula>"未完成"</formula>
    </cfRule>
  </conditionalFormatting>
  <conditionalFormatting sqref="AG23:AH23">
    <cfRule type="cellIs" dxfId="1" priority="6192" operator="equal">
      <formula>"未完成"</formula>
    </cfRule>
    <cfRule type="cellIs" dxfId="0" priority="6203" operator="equal">
      <formula>"未完成"</formula>
    </cfRule>
  </conditionalFormatting>
  <conditionalFormatting sqref="AN23:AO23">
    <cfRule type="cellIs" dxfId="1" priority="6170" operator="equal">
      <formula>"未完成"</formula>
    </cfRule>
    <cfRule type="cellIs" dxfId="0" priority="6181" operator="equal">
      <formula>"未完成"</formula>
    </cfRule>
  </conditionalFormatting>
  <conditionalFormatting sqref="AQ23">
    <cfRule type="cellIs" dxfId="1" priority="6148" operator="equal">
      <formula>"未完成"</formula>
    </cfRule>
    <cfRule type="cellIs" dxfId="0" priority="6159" operator="equal">
      <formula>"未完成"</formula>
    </cfRule>
  </conditionalFormatting>
  <conditionalFormatting sqref="AR23:AT23">
    <cfRule type="cellIs" dxfId="1" priority="6126" operator="equal">
      <formula>"未完成"</formula>
    </cfRule>
    <cfRule type="cellIs" dxfId="0" priority="6137" operator="equal">
      <formula>"未完成"</formula>
    </cfRule>
  </conditionalFormatting>
  <conditionalFormatting sqref="R24">
    <cfRule type="cellIs" dxfId="0" priority="6081" operator="equal">
      <formula>"欠"</formula>
    </cfRule>
  </conditionalFormatting>
  <conditionalFormatting sqref="T24">
    <cfRule type="cellIs" dxfId="0" priority="6092" operator="equal">
      <formula>"欠"</formula>
    </cfRule>
  </conditionalFormatting>
  <conditionalFormatting sqref="AC24">
    <cfRule type="cellIs" dxfId="0" priority="6213" operator="equal">
      <formula>"未完成"</formula>
    </cfRule>
  </conditionalFormatting>
  <conditionalFormatting sqref="AG24:AH24">
    <cfRule type="cellIs" dxfId="1" priority="6191" operator="equal">
      <formula>"未完成"</formula>
    </cfRule>
    <cfRule type="cellIs" dxfId="0" priority="6202" operator="equal">
      <formula>"未完成"</formula>
    </cfRule>
  </conditionalFormatting>
  <conditionalFormatting sqref="AN24:AO24">
    <cfRule type="cellIs" dxfId="1" priority="6169" operator="equal">
      <formula>"未完成"</formula>
    </cfRule>
    <cfRule type="cellIs" dxfId="0" priority="6180" operator="equal">
      <formula>"未完成"</formula>
    </cfRule>
  </conditionalFormatting>
  <conditionalFormatting sqref="AQ24">
    <cfRule type="cellIs" dxfId="1" priority="6147" operator="equal">
      <formula>"未完成"</formula>
    </cfRule>
    <cfRule type="cellIs" dxfId="0" priority="6158" operator="equal">
      <formula>"未完成"</formula>
    </cfRule>
  </conditionalFormatting>
  <conditionalFormatting sqref="AR24:AT24">
    <cfRule type="cellIs" dxfId="1" priority="6125" operator="equal">
      <formula>"未完成"</formula>
    </cfRule>
    <cfRule type="cellIs" dxfId="0" priority="6136" operator="equal">
      <formula>"未完成"</formula>
    </cfRule>
  </conditionalFormatting>
  <conditionalFormatting sqref="R25">
    <cfRule type="cellIs" dxfId="0" priority="6080" operator="equal">
      <formula>"欠"</formula>
    </cfRule>
  </conditionalFormatting>
  <conditionalFormatting sqref="T25">
    <cfRule type="cellIs" dxfId="0" priority="6091" operator="equal">
      <formula>"欠"</formula>
    </cfRule>
  </conditionalFormatting>
  <conditionalFormatting sqref="AC25">
    <cfRule type="cellIs" dxfId="0" priority="6212" operator="equal">
      <formula>"未完成"</formula>
    </cfRule>
  </conditionalFormatting>
  <conditionalFormatting sqref="AG25:AH25">
    <cfRule type="cellIs" dxfId="1" priority="6190" operator="equal">
      <formula>"未完成"</formula>
    </cfRule>
    <cfRule type="cellIs" dxfId="0" priority="6201" operator="equal">
      <formula>"未完成"</formula>
    </cfRule>
  </conditionalFormatting>
  <conditionalFormatting sqref="AN25:AO25">
    <cfRule type="cellIs" dxfId="1" priority="6168" operator="equal">
      <formula>"未完成"</formula>
    </cfRule>
    <cfRule type="cellIs" dxfId="0" priority="6179" operator="equal">
      <formula>"未完成"</formula>
    </cfRule>
  </conditionalFormatting>
  <conditionalFormatting sqref="AQ25">
    <cfRule type="cellIs" dxfId="1" priority="6146" operator="equal">
      <formula>"未完成"</formula>
    </cfRule>
    <cfRule type="cellIs" dxfId="0" priority="6157" operator="equal">
      <formula>"未完成"</formula>
    </cfRule>
  </conditionalFormatting>
  <conditionalFormatting sqref="AR25:AT25">
    <cfRule type="cellIs" dxfId="1" priority="6124" operator="equal">
      <formula>"未完成"</formula>
    </cfRule>
    <cfRule type="cellIs" dxfId="0" priority="6135" operator="equal">
      <formula>"未完成"</formula>
    </cfRule>
  </conditionalFormatting>
  <conditionalFormatting sqref="R26">
    <cfRule type="cellIs" dxfId="0" priority="6079" operator="equal">
      <formula>"欠"</formula>
    </cfRule>
  </conditionalFormatting>
  <conditionalFormatting sqref="T26">
    <cfRule type="cellIs" dxfId="0" priority="6090" operator="equal">
      <formula>"欠"</formula>
    </cfRule>
  </conditionalFormatting>
  <conditionalFormatting sqref="AC26">
    <cfRule type="cellIs" dxfId="0" priority="6211" operator="equal">
      <formula>"未完成"</formula>
    </cfRule>
  </conditionalFormatting>
  <conditionalFormatting sqref="AG26:AH26">
    <cfRule type="cellIs" dxfId="1" priority="6189" operator="equal">
      <formula>"未完成"</formula>
    </cfRule>
    <cfRule type="cellIs" dxfId="0" priority="6200" operator="equal">
      <formula>"未完成"</formula>
    </cfRule>
  </conditionalFormatting>
  <conditionalFormatting sqref="AN26:AO26">
    <cfRule type="cellIs" dxfId="1" priority="6167" operator="equal">
      <formula>"未完成"</formula>
    </cfRule>
    <cfRule type="cellIs" dxfId="0" priority="6178" operator="equal">
      <formula>"未完成"</formula>
    </cfRule>
  </conditionalFormatting>
  <conditionalFormatting sqref="AQ26">
    <cfRule type="cellIs" dxfId="1" priority="6145" operator="equal">
      <formula>"未完成"</formula>
    </cfRule>
    <cfRule type="cellIs" dxfId="0" priority="6156" operator="equal">
      <formula>"未完成"</formula>
    </cfRule>
  </conditionalFormatting>
  <conditionalFormatting sqref="AR26:AT26">
    <cfRule type="cellIs" dxfId="1" priority="6123" operator="equal">
      <formula>"未完成"</formula>
    </cfRule>
    <cfRule type="cellIs" dxfId="0" priority="6134" operator="equal">
      <formula>"未完成"</formula>
    </cfRule>
  </conditionalFormatting>
  <conditionalFormatting sqref="R27">
    <cfRule type="cellIs" dxfId="0" priority="6078" operator="equal">
      <formula>"欠"</formula>
    </cfRule>
  </conditionalFormatting>
  <conditionalFormatting sqref="T27">
    <cfRule type="cellIs" dxfId="0" priority="6089" operator="equal">
      <formula>"欠"</formula>
    </cfRule>
  </conditionalFormatting>
  <conditionalFormatting sqref="AC27">
    <cfRule type="cellIs" dxfId="0" priority="6210" operator="equal">
      <formula>"未完成"</formula>
    </cfRule>
  </conditionalFormatting>
  <conditionalFormatting sqref="AG27:AH27">
    <cfRule type="cellIs" dxfId="1" priority="6188" operator="equal">
      <formula>"未完成"</formula>
    </cfRule>
    <cfRule type="cellIs" dxfId="0" priority="6199" operator="equal">
      <formula>"未完成"</formula>
    </cfRule>
  </conditionalFormatting>
  <conditionalFormatting sqref="AN27:AO27">
    <cfRule type="cellIs" dxfId="1" priority="6166" operator="equal">
      <formula>"未完成"</formula>
    </cfRule>
    <cfRule type="cellIs" dxfId="0" priority="6177" operator="equal">
      <formula>"未完成"</formula>
    </cfRule>
  </conditionalFormatting>
  <conditionalFormatting sqref="AQ27">
    <cfRule type="cellIs" dxfId="1" priority="6144" operator="equal">
      <formula>"未完成"</formula>
    </cfRule>
    <cfRule type="cellIs" dxfId="0" priority="6155" operator="equal">
      <formula>"未完成"</formula>
    </cfRule>
  </conditionalFormatting>
  <conditionalFormatting sqref="AR27:AT27">
    <cfRule type="cellIs" dxfId="1" priority="6122" operator="equal">
      <formula>"未完成"</formula>
    </cfRule>
    <cfRule type="cellIs" dxfId="0" priority="6133" operator="equal">
      <formula>"未完成"</formula>
    </cfRule>
  </conditionalFormatting>
  <conditionalFormatting sqref="R28">
    <cfRule type="cellIs" dxfId="0" priority="6077" operator="equal">
      <formula>"欠"</formula>
    </cfRule>
  </conditionalFormatting>
  <conditionalFormatting sqref="T28">
    <cfRule type="cellIs" dxfId="0" priority="6088" operator="equal">
      <formula>"欠"</formula>
    </cfRule>
  </conditionalFormatting>
  <conditionalFormatting sqref="AC28">
    <cfRule type="cellIs" dxfId="0" priority="6209" operator="equal">
      <formula>"未完成"</formula>
    </cfRule>
  </conditionalFormatting>
  <conditionalFormatting sqref="AG28:AH28">
    <cfRule type="cellIs" dxfId="1" priority="6187" operator="equal">
      <formula>"未完成"</formula>
    </cfRule>
    <cfRule type="cellIs" dxfId="0" priority="6198" operator="equal">
      <formula>"未完成"</formula>
    </cfRule>
  </conditionalFormatting>
  <conditionalFormatting sqref="AN28:AO28">
    <cfRule type="cellIs" dxfId="1" priority="6165" operator="equal">
      <formula>"未完成"</formula>
    </cfRule>
    <cfRule type="cellIs" dxfId="0" priority="6176" operator="equal">
      <formula>"未完成"</formula>
    </cfRule>
  </conditionalFormatting>
  <conditionalFormatting sqref="AQ28">
    <cfRule type="cellIs" dxfId="1" priority="6143" operator="equal">
      <formula>"未完成"</formula>
    </cfRule>
    <cfRule type="cellIs" dxfId="0" priority="6154" operator="equal">
      <formula>"未完成"</formula>
    </cfRule>
  </conditionalFormatting>
  <conditionalFormatting sqref="AR28:AT28">
    <cfRule type="cellIs" dxfId="1" priority="6121" operator="equal">
      <formula>"未完成"</formula>
    </cfRule>
    <cfRule type="cellIs" dxfId="0" priority="6132" operator="equal">
      <formula>"未完成"</formula>
    </cfRule>
  </conditionalFormatting>
  <conditionalFormatting sqref="R29">
    <cfRule type="cellIs" dxfId="0" priority="6030" operator="equal">
      <formula>"欠"</formula>
    </cfRule>
  </conditionalFormatting>
  <conditionalFormatting sqref="T29">
    <cfRule type="cellIs" dxfId="0" priority="6032" operator="equal">
      <formula>"欠"</formula>
    </cfRule>
  </conditionalFormatting>
  <conditionalFormatting sqref="AC29">
    <cfRule type="cellIs" dxfId="0" priority="6054" operator="equal">
      <formula>"未完成"</formula>
    </cfRule>
  </conditionalFormatting>
  <conditionalFormatting sqref="AG29:AH29">
    <cfRule type="cellIs" dxfId="1" priority="6050" operator="equal">
      <formula>"未完成"</formula>
    </cfRule>
    <cfRule type="cellIs" dxfId="0" priority="6052" operator="equal">
      <formula>"未完成"</formula>
    </cfRule>
  </conditionalFormatting>
  <conditionalFormatting sqref="AJ29">
    <cfRule type="cellIs" dxfId="1" priority="6034" operator="equal">
      <formula>"未完成"</formula>
    </cfRule>
    <cfRule type="cellIs" dxfId="0" priority="6036" operator="equal">
      <formula>"未完成"</formula>
    </cfRule>
  </conditionalFormatting>
  <conditionalFormatting sqref="AK29">
    <cfRule type="cellIs" dxfId="1" priority="6026" operator="equal">
      <formula>"未完成"</formula>
    </cfRule>
    <cfRule type="cellIs" dxfId="0" priority="6028" operator="equal">
      <formula>"未完成"</formula>
    </cfRule>
  </conditionalFormatting>
  <conditionalFormatting sqref="AN29:AO29">
    <cfRule type="cellIs" dxfId="1" priority="6046" operator="equal">
      <formula>"未完成"</formula>
    </cfRule>
    <cfRule type="cellIs" dxfId="0" priority="6048" operator="equal">
      <formula>"未完成"</formula>
    </cfRule>
  </conditionalFormatting>
  <conditionalFormatting sqref="AR29:AT29">
    <cfRule type="cellIs" dxfId="1" priority="6038" operator="equal">
      <formula>"未完成"</formula>
    </cfRule>
    <cfRule type="cellIs" dxfId="0" priority="6040" operator="equal">
      <formula>"未完成"</formula>
    </cfRule>
  </conditionalFormatting>
  <conditionalFormatting sqref="R30">
    <cfRule type="cellIs" dxfId="0" priority="6029" operator="equal">
      <formula>"欠"</formula>
    </cfRule>
  </conditionalFormatting>
  <conditionalFormatting sqref="T30">
    <cfRule type="cellIs" dxfId="0" priority="6031" operator="equal">
      <formula>"欠"</formula>
    </cfRule>
  </conditionalFormatting>
  <conditionalFormatting sqref="AC30">
    <cfRule type="cellIs" dxfId="0" priority="6053" operator="equal">
      <formula>"未完成"</formula>
    </cfRule>
  </conditionalFormatting>
  <conditionalFormatting sqref="AG30:AH30">
    <cfRule type="cellIs" dxfId="1" priority="6049" operator="equal">
      <formula>"未完成"</formula>
    </cfRule>
    <cfRule type="cellIs" dxfId="0" priority="6051" operator="equal">
      <formula>"未完成"</formula>
    </cfRule>
  </conditionalFormatting>
  <conditionalFormatting sqref="AJ30">
    <cfRule type="cellIs" dxfId="1" priority="6033" operator="equal">
      <formula>"未完成"</formula>
    </cfRule>
    <cfRule type="cellIs" dxfId="0" priority="6035" operator="equal">
      <formula>"未完成"</formula>
    </cfRule>
  </conditionalFormatting>
  <conditionalFormatting sqref="AK30">
    <cfRule type="cellIs" dxfId="1" priority="6025" operator="equal">
      <formula>"未完成"</formula>
    </cfRule>
    <cfRule type="cellIs" dxfId="0" priority="6027" operator="equal">
      <formula>"未完成"</formula>
    </cfRule>
  </conditionalFormatting>
  <conditionalFormatting sqref="AN30:AO30">
    <cfRule type="cellIs" dxfId="1" priority="6045" operator="equal">
      <formula>"未完成"</formula>
    </cfRule>
    <cfRule type="cellIs" dxfId="0" priority="6047" operator="equal">
      <formula>"未完成"</formula>
    </cfRule>
  </conditionalFormatting>
  <conditionalFormatting sqref="AR30:AT30">
    <cfRule type="cellIs" dxfId="1" priority="6037" operator="equal">
      <formula>"未完成"</formula>
    </cfRule>
    <cfRule type="cellIs" dxfId="0" priority="6039" operator="equal">
      <formula>"未完成"</formula>
    </cfRule>
  </conditionalFormatting>
  <conditionalFormatting sqref="R31">
    <cfRule type="cellIs" dxfId="0" priority="5964" operator="equal">
      <formula>"欠"</formula>
    </cfRule>
  </conditionalFormatting>
  <conditionalFormatting sqref="T31">
    <cfRule type="cellIs" dxfId="0" priority="5969" operator="equal">
      <formula>"欠"</formula>
    </cfRule>
  </conditionalFormatting>
  <conditionalFormatting sqref="AC31">
    <cfRule type="cellIs" dxfId="0" priority="6024" operator="equal">
      <formula>"未完成"</formula>
    </cfRule>
  </conditionalFormatting>
  <conditionalFormatting sqref="AG31:AH31">
    <cfRule type="cellIs" dxfId="1" priority="6014" operator="equal">
      <formula>"未完成"</formula>
    </cfRule>
    <cfRule type="cellIs" dxfId="0" priority="6019" operator="equal">
      <formula>"未完成"</formula>
    </cfRule>
  </conditionalFormatting>
  <conditionalFormatting sqref="AJ31">
    <cfRule type="cellIs" dxfId="1" priority="5974" operator="equal">
      <formula>"未完成"</formula>
    </cfRule>
    <cfRule type="cellIs" dxfId="0" priority="5979" operator="equal">
      <formula>"未完成"</formula>
    </cfRule>
  </conditionalFormatting>
  <conditionalFormatting sqref="AK31">
    <cfRule type="cellIs" dxfId="1" priority="5954" operator="equal">
      <formula>"未完成"</formula>
    </cfRule>
    <cfRule type="cellIs" dxfId="0" priority="5959" operator="equal">
      <formula>"未完成"</formula>
    </cfRule>
  </conditionalFormatting>
  <conditionalFormatting sqref="AN31:AO31">
    <cfRule type="cellIs" dxfId="1" priority="6004" operator="equal">
      <formula>"未完成"</formula>
    </cfRule>
    <cfRule type="cellIs" dxfId="0" priority="6009" operator="equal">
      <formula>"未完成"</formula>
    </cfRule>
  </conditionalFormatting>
  <conditionalFormatting sqref="AR31:AT31">
    <cfRule type="cellIs" dxfId="1" priority="5984" operator="equal">
      <formula>"未完成"</formula>
    </cfRule>
    <cfRule type="cellIs" dxfId="0" priority="5989" operator="equal">
      <formula>"未完成"</formula>
    </cfRule>
  </conditionalFormatting>
  <conditionalFormatting sqref="R32">
    <cfRule type="cellIs" dxfId="0" priority="5963" operator="equal">
      <formula>"欠"</formula>
    </cfRule>
  </conditionalFormatting>
  <conditionalFormatting sqref="T32">
    <cfRule type="cellIs" dxfId="0" priority="5968" operator="equal">
      <formula>"欠"</formula>
    </cfRule>
  </conditionalFormatting>
  <conditionalFormatting sqref="AC32">
    <cfRule type="cellIs" dxfId="0" priority="6023" operator="equal">
      <formula>"未完成"</formula>
    </cfRule>
  </conditionalFormatting>
  <conditionalFormatting sqref="AG32:AH32">
    <cfRule type="cellIs" dxfId="1" priority="6013" operator="equal">
      <formula>"未完成"</formula>
    </cfRule>
    <cfRule type="cellIs" dxfId="0" priority="6018" operator="equal">
      <formula>"未完成"</formula>
    </cfRule>
  </conditionalFormatting>
  <conditionalFormatting sqref="AJ32">
    <cfRule type="cellIs" dxfId="1" priority="5973" operator="equal">
      <formula>"未完成"</formula>
    </cfRule>
    <cfRule type="cellIs" dxfId="0" priority="5978" operator="equal">
      <formula>"未完成"</formula>
    </cfRule>
  </conditionalFormatting>
  <conditionalFormatting sqref="AK32">
    <cfRule type="cellIs" dxfId="1" priority="5953" operator="equal">
      <formula>"未完成"</formula>
    </cfRule>
    <cfRule type="cellIs" dxfId="0" priority="5958" operator="equal">
      <formula>"未完成"</formula>
    </cfRule>
  </conditionalFormatting>
  <conditionalFormatting sqref="AN32:AO32">
    <cfRule type="cellIs" dxfId="1" priority="6003" operator="equal">
      <formula>"未完成"</formula>
    </cfRule>
    <cfRule type="cellIs" dxfId="0" priority="6008" operator="equal">
      <formula>"未完成"</formula>
    </cfRule>
  </conditionalFormatting>
  <conditionalFormatting sqref="AQ32">
    <cfRule type="cellIs" dxfId="1" priority="5993" operator="equal">
      <formula>"未完成"</formula>
    </cfRule>
    <cfRule type="cellIs" dxfId="0" priority="5998" operator="equal">
      <formula>"未完成"</formula>
    </cfRule>
  </conditionalFormatting>
  <conditionalFormatting sqref="AR32:AT32">
    <cfRule type="cellIs" dxfId="1" priority="5983" operator="equal">
      <formula>"未完成"</formula>
    </cfRule>
    <cfRule type="cellIs" dxfId="0" priority="5988" operator="equal">
      <formula>"未完成"</formula>
    </cfRule>
  </conditionalFormatting>
  <conditionalFormatting sqref="R33">
    <cfRule type="cellIs" dxfId="0" priority="5962" operator="equal">
      <formula>"欠"</formula>
    </cfRule>
  </conditionalFormatting>
  <conditionalFormatting sqref="T33">
    <cfRule type="cellIs" dxfId="0" priority="5967" operator="equal">
      <formula>"欠"</formula>
    </cfRule>
  </conditionalFormatting>
  <conditionalFormatting sqref="AC33">
    <cfRule type="cellIs" dxfId="0" priority="6022" operator="equal">
      <formula>"未完成"</formula>
    </cfRule>
  </conditionalFormatting>
  <conditionalFormatting sqref="AG33:AH33">
    <cfRule type="cellIs" dxfId="1" priority="6012" operator="equal">
      <formula>"未完成"</formula>
    </cfRule>
    <cfRule type="cellIs" dxfId="0" priority="6017" operator="equal">
      <formula>"未完成"</formula>
    </cfRule>
  </conditionalFormatting>
  <conditionalFormatting sqref="AJ33">
    <cfRule type="cellIs" dxfId="1" priority="5972" operator="equal">
      <formula>"未完成"</formula>
    </cfRule>
    <cfRule type="cellIs" dxfId="0" priority="5977" operator="equal">
      <formula>"未完成"</formula>
    </cfRule>
  </conditionalFormatting>
  <conditionalFormatting sqref="AK33">
    <cfRule type="cellIs" dxfId="1" priority="5952" operator="equal">
      <formula>"未完成"</formula>
    </cfRule>
    <cfRule type="cellIs" dxfId="0" priority="5957" operator="equal">
      <formula>"未完成"</formula>
    </cfRule>
  </conditionalFormatting>
  <conditionalFormatting sqref="AN33:AO33">
    <cfRule type="cellIs" dxfId="1" priority="6002" operator="equal">
      <formula>"未完成"</formula>
    </cfRule>
    <cfRule type="cellIs" dxfId="0" priority="6007" operator="equal">
      <formula>"未完成"</formula>
    </cfRule>
  </conditionalFormatting>
  <conditionalFormatting sqref="AQ33">
    <cfRule type="cellIs" dxfId="1" priority="5992" operator="equal">
      <formula>"未完成"</formula>
    </cfRule>
    <cfRule type="cellIs" dxfId="0" priority="5997" operator="equal">
      <formula>"未完成"</formula>
    </cfRule>
  </conditionalFormatting>
  <conditionalFormatting sqref="AR33:AT33">
    <cfRule type="cellIs" dxfId="1" priority="5982" operator="equal">
      <formula>"未完成"</formula>
    </cfRule>
    <cfRule type="cellIs" dxfId="0" priority="5987" operator="equal">
      <formula>"未完成"</formula>
    </cfRule>
  </conditionalFormatting>
  <conditionalFormatting sqref="R34">
    <cfRule type="cellIs" dxfId="0" priority="5961" operator="equal">
      <formula>"欠"</formula>
    </cfRule>
  </conditionalFormatting>
  <conditionalFormatting sqref="T34">
    <cfRule type="cellIs" dxfId="0" priority="5966" operator="equal">
      <formula>"欠"</formula>
    </cfRule>
  </conditionalFormatting>
  <conditionalFormatting sqref="AC34">
    <cfRule type="cellIs" dxfId="0" priority="6021" operator="equal">
      <formula>"未完成"</formula>
    </cfRule>
  </conditionalFormatting>
  <conditionalFormatting sqref="AG34:AH34">
    <cfRule type="cellIs" dxfId="1" priority="6011" operator="equal">
      <formula>"未完成"</formula>
    </cfRule>
    <cfRule type="cellIs" dxfId="0" priority="6016" operator="equal">
      <formula>"未完成"</formula>
    </cfRule>
  </conditionalFormatting>
  <conditionalFormatting sqref="AJ34">
    <cfRule type="cellIs" dxfId="1" priority="5971" operator="equal">
      <formula>"未完成"</formula>
    </cfRule>
    <cfRule type="cellIs" dxfId="0" priority="5976" operator="equal">
      <formula>"未完成"</formula>
    </cfRule>
  </conditionalFormatting>
  <conditionalFormatting sqref="AK34">
    <cfRule type="cellIs" dxfId="1" priority="5951" operator="equal">
      <formula>"未完成"</formula>
    </cfRule>
    <cfRule type="cellIs" dxfId="0" priority="5956" operator="equal">
      <formula>"未完成"</formula>
    </cfRule>
  </conditionalFormatting>
  <conditionalFormatting sqref="AN34:AO34">
    <cfRule type="cellIs" dxfId="1" priority="6001" operator="equal">
      <formula>"未完成"</formula>
    </cfRule>
    <cfRule type="cellIs" dxfId="0" priority="6006" operator="equal">
      <formula>"未完成"</formula>
    </cfRule>
  </conditionalFormatting>
  <conditionalFormatting sqref="AQ34">
    <cfRule type="cellIs" dxfId="1" priority="5991" operator="equal">
      <formula>"未完成"</formula>
    </cfRule>
    <cfRule type="cellIs" dxfId="0" priority="5996" operator="equal">
      <formula>"未完成"</formula>
    </cfRule>
  </conditionalFormatting>
  <conditionalFormatting sqref="AR34:AT34">
    <cfRule type="cellIs" dxfId="1" priority="5981" operator="equal">
      <formula>"未完成"</formula>
    </cfRule>
    <cfRule type="cellIs" dxfId="0" priority="5986" operator="equal">
      <formula>"未完成"</formula>
    </cfRule>
  </conditionalFormatting>
  <conditionalFormatting sqref="R35">
    <cfRule type="cellIs" dxfId="0" priority="5960" operator="equal">
      <formula>"欠"</formula>
    </cfRule>
  </conditionalFormatting>
  <conditionalFormatting sqref="T35">
    <cfRule type="cellIs" dxfId="0" priority="5965" operator="equal">
      <formula>"欠"</formula>
    </cfRule>
  </conditionalFormatting>
  <conditionalFormatting sqref="AC35">
    <cfRule type="cellIs" dxfId="0" priority="6020" operator="equal">
      <formula>"未完成"</formula>
    </cfRule>
  </conditionalFormatting>
  <conditionalFormatting sqref="AG35:AH35">
    <cfRule type="cellIs" dxfId="1" priority="6010" operator="equal">
      <formula>"未完成"</formula>
    </cfRule>
    <cfRule type="cellIs" dxfId="0" priority="6015" operator="equal">
      <formula>"未完成"</formula>
    </cfRule>
  </conditionalFormatting>
  <conditionalFormatting sqref="AJ35">
    <cfRule type="cellIs" dxfId="1" priority="5970" operator="equal">
      <formula>"未完成"</formula>
    </cfRule>
    <cfRule type="cellIs" dxfId="0" priority="5975" operator="equal">
      <formula>"未完成"</formula>
    </cfRule>
  </conditionalFormatting>
  <conditionalFormatting sqref="AK35">
    <cfRule type="cellIs" dxfId="1" priority="5950" operator="equal">
      <formula>"未完成"</formula>
    </cfRule>
    <cfRule type="cellIs" dxfId="0" priority="5955" operator="equal">
      <formula>"未完成"</formula>
    </cfRule>
  </conditionalFormatting>
  <conditionalFormatting sqref="AN35:AO35">
    <cfRule type="cellIs" dxfId="1" priority="6000" operator="equal">
      <formula>"未完成"</formula>
    </cfRule>
    <cfRule type="cellIs" dxfId="0" priority="6005" operator="equal">
      <formula>"未完成"</formula>
    </cfRule>
  </conditionalFormatting>
  <conditionalFormatting sqref="AQ35">
    <cfRule type="cellIs" dxfId="1" priority="5990" operator="equal">
      <formula>"未完成"</formula>
    </cfRule>
    <cfRule type="cellIs" dxfId="0" priority="5995" operator="equal">
      <formula>"未完成"</formula>
    </cfRule>
  </conditionalFormatting>
  <conditionalFormatting sqref="AR35:AT35">
    <cfRule type="cellIs" dxfId="1" priority="5980" operator="equal">
      <formula>"未完成"</formula>
    </cfRule>
    <cfRule type="cellIs" dxfId="0" priority="5985" operator="equal">
      <formula>"未完成"</formula>
    </cfRule>
  </conditionalFormatting>
  <conditionalFormatting sqref="R36">
    <cfRule type="cellIs" dxfId="0" priority="7318" operator="equal">
      <formula>"欠"</formula>
    </cfRule>
  </conditionalFormatting>
  <conditionalFormatting sqref="AC36">
    <cfRule type="cellIs" dxfId="0" priority="7331" operator="equal">
      <formula>"未完成"</formula>
    </cfRule>
  </conditionalFormatting>
  <conditionalFormatting sqref="AG36:AH36">
    <cfRule type="cellIs" dxfId="1" priority="7332" operator="equal">
      <formula>"未完成"</formula>
    </cfRule>
    <cfRule type="cellIs" dxfId="0" priority="7333" operator="equal">
      <formula>"未完成"</formula>
    </cfRule>
  </conditionalFormatting>
  <conditionalFormatting sqref="AJ36">
    <cfRule type="cellIs" dxfId="1" priority="7323" operator="equal">
      <formula>"未完成"</formula>
    </cfRule>
    <cfRule type="cellIs" dxfId="0" priority="7324" operator="equal">
      <formula>"未完成"</formula>
    </cfRule>
  </conditionalFormatting>
  <conditionalFormatting sqref="AK36">
    <cfRule type="cellIs" dxfId="1" priority="7334" operator="equal">
      <formula>"未完成"</formula>
    </cfRule>
    <cfRule type="cellIs" dxfId="0" priority="7335" operator="equal">
      <formula>"未完成"</formula>
    </cfRule>
  </conditionalFormatting>
  <conditionalFormatting sqref="AN36">
    <cfRule type="cellIs" dxfId="1" priority="7345" operator="equal">
      <formula>"未完成"</formula>
    </cfRule>
    <cfRule type="cellIs" dxfId="0" priority="7346" operator="equal">
      <formula>"未完成"</formula>
    </cfRule>
  </conditionalFormatting>
  <conditionalFormatting sqref="AO36">
    <cfRule type="cellIs" dxfId="1" priority="7347" operator="equal">
      <formula>"未完成"</formula>
    </cfRule>
    <cfRule type="cellIs" dxfId="0" priority="7348" operator="equal">
      <formula>"未完成"</formula>
    </cfRule>
  </conditionalFormatting>
  <conditionalFormatting sqref="AQ36">
    <cfRule type="cellIs" dxfId="1" priority="7336" operator="equal">
      <formula>"未完成"</formula>
    </cfRule>
    <cfRule type="cellIs" dxfId="0" priority="7337" operator="equal">
      <formula>"未完成"</formula>
    </cfRule>
  </conditionalFormatting>
  <conditionalFormatting sqref="AR36">
    <cfRule type="cellIs" dxfId="1" priority="7321" operator="equal">
      <formula>"未完成"</formula>
    </cfRule>
    <cfRule type="cellIs" dxfId="0" priority="7322" operator="equal">
      <formula>"未完成"</formula>
    </cfRule>
  </conditionalFormatting>
  <conditionalFormatting sqref="AS36:AT36">
    <cfRule type="cellIs" dxfId="1" priority="7329" operator="equal">
      <formula>"未完成"</formula>
    </cfRule>
    <cfRule type="cellIs" dxfId="0" priority="7330" operator="equal">
      <formula>"未完成"</formula>
    </cfRule>
  </conditionalFormatting>
  <conditionalFormatting sqref="R37">
    <cfRule type="cellIs" dxfId="0" priority="7180" operator="equal">
      <formula>"欠"</formula>
    </cfRule>
  </conditionalFormatting>
  <conditionalFormatting sqref="AC37">
    <cfRule type="cellIs" dxfId="0" priority="7229" operator="equal">
      <formula>"未完成"</formula>
    </cfRule>
  </conditionalFormatting>
  <conditionalFormatting sqref="AH37">
    <cfRule type="cellIs" dxfId="1" priority="7236" operator="equal">
      <formula>"未完成"</formula>
    </cfRule>
    <cfRule type="cellIs" dxfId="0" priority="7243" operator="equal">
      <formula>"未完成"</formula>
    </cfRule>
  </conditionalFormatting>
  <conditionalFormatting sqref="AJ37">
    <cfRule type="cellIs" dxfId="1" priority="7201" operator="equal">
      <formula>"未完成"</formula>
    </cfRule>
    <cfRule type="cellIs" dxfId="0" priority="7208" operator="equal">
      <formula>"未完成"</formula>
    </cfRule>
  </conditionalFormatting>
  <conditionalFormatting sqref="AK37">
    <cfRule type="cellIs" dxfId="1" priority="7250" operator="equal">
      <formula>"未完成"</formula>
    </cfRule>
    <cfRule type="cellIs" dxfId="0" priority="7257" operator="equal">
      <formula>"未完成"</formula>
    </cfRule>
  </conditionalFormatting>
  <conditionalFormatting sqref="AN37">
    <cfRule type="cellIs" dxfId="1" priority="7278" operator="equal">
      <formula>"未完成"</formula>
    </cfRule>
    <cfRule type="cellIs" dxfId="0" priority="7285" operator="equal">
      <formula>"未完成"</formula>
    </cfRule>
  </conditionalFormatting>
  <conditionalFormatting sqref="AO37">
    <cfRule type="cellIs" dxfId="1" priority="7292" operator="equal">
      <formula>"未完成"</formula>
    </cfRule>
    <cfRule type="cellIs" dxfId="0" priority="7299" operator="equal">
      <formula>"未完成"</formula>
    </cfRule>
  </conditionalFormatting>
  <conditionalFormatting sqref="AQ37">
    <cfRule type="cellIs" dxfId="1" priority="7264" operator="equal">
      <formula>"未完成"</formula>
    </cfRule>
    <cfRule type="cellIs" dxfId="0" priority="7271" operator="equal">
      <formula>"未完成"</formula>
    </cfRule>
  </conditionalFormatting>
  <conditionalFormatting sqref="AR37">
    <cfRule type="cellIs" dxfId="1" priority="7187" operator="equal">
      <formula>"未完成"</formula>
    </cfRule>
    <cfRule type="cellIs" dxfId="0" priority="7194" operator="equal">
      <formula>"未完成"</formula>
    </cfRule>
  </conditionalFormatting>
  <conditionalFormatting sqref="AS37:AT37">
    <cfRule type="cellIs" dxfId="1" priority="7215" operator="equal">
      <formula>"未完成"</formula>
    </cfRule>
    <cfRule type="cellIs" dxfId="0" priority="7222" operator="equal">
      <formula>"未完成"</formula>
    </cfRule>
  </conditionalFormatting>
  <conditionalFormatting sqref="R38">
    <cfRule type="cellIs" dxfId="0" priority="7179" operator="equal">
      <formula>"欠"</formula>
    </cfRule>
  </conditionalFormatting>
  <conditionalFormatting sqref="AC38">
    <cfRule type="cellIs" dxfId="0" priority="7228" operator="equal">
      <formula>"未完成"</formula>
    </cfRule>
  </conditionalFormatting>
  <conditionalFormatting sqref="AH38">
    <cfRule type="cellIs" dxfId="1" priority="7235" operator="equal">
      <formula>"未完成"</formula>
    </cfRule>
    <cfRule type="cellIs" dxfId="0" priority="7242" operator="equal">
      <formula>"未完成"</formula>
    </cfRule>
  </conditionalFormatting>
  <conditionalFormatting sqref="AJ38">
    <cfRule type="cellIs" dxfId="1" priority="7200" operator="equal">
      <formula>"未完成"</formula>
    </cfRule>
    <cfRule type="cellIs" dxfId="0" priority="7207" operator="equal">
      <formula>"未完成"</formula>
    </cfRule>
  </conditionalFormatting>
  <conditionalFormatting sqref="AK38">
    <cfRule type="cellIs" dxfId="1" priority="7249" operator="equal">
      <formula>"未完成"</formula>
    </cfRule>
    <cfRule type="cellIs" dxfId="0" priority="7256" operator="equal">
      <formula>"未完成"</formula>
    </cfRule>
  </conditionalFormatting>
  <conditionalFormatting sqref="AN38">
    <cfRule type="cellIs" dxfId="1" priority="7277" operator="equal">
      <formula>"未完成"</formula>
    </cfRule>
    <cfRule type="cellIs" dxfId="0" priority="7284" operator="equal">
      <formula>"未完成"</formula>
    </cfRule>
  </conditionalFormatting>
  <conditionalFormatting sqref="AO38">
    <cfRule type="cellIs" dxfId="1" priority="7291" operator="equal">
      <formula>"未完成"</formula>
    </cfRule>
    <cfRule type="cellIs" dxfId="0" priority="7298" operator="equal">
      <formula>"未完成"</formula>
    </cfRule>
  </conditionalFormatting>
  <conditionalFormatting sqref="AQ38">
    <cfRule type="cellIs" dxfId="1" priority="7263" operator="equal">
      <formula>"未完成"</formula>
    </cfRule>
    <cfRule type="cellIs" dxfId="0" priority="7270" operator="equal">
      <formula>"未完成"</formula>
    </cfRule>
  </conditionalFormatting>
  <conditionalFormatting sqref="AR38">
    <cfRule type="cellIs" dxfId="1" priority="7186" operator="equal">
      <formula>"未完成"</formula>
    </cfRule>
    <cfRule type="cellIs" dxfId="0" priority="7193" operator="equal">
      <formula>"未完成"</formula>
    </cfRule>
  </conditionalFormatting>
  <conditionalFormatting sqref="AS38:AT38">
    <cfRule type="cellIs" dxfId="1" priority="7214" operator="equal">
      <formula>"未完成"</formula>
    </cfRule>
    <cfRule type="cellIs" dxfId="0" priority="7221" operator="equal">
      <formula>"未完成"</formula>
    </cfRule>
  </conditionalFormatting>
  <conditionalFormatting sqref="R39">
    <cfRule type="cellIs" dxfId="0" priority="7178" operator="equal">
      <formula>"欠"</formula>
    </cfRule>
  </conditionalFormatting>
  <conditionalFormatting sqref="AC39">
    <cfRule type="cellIs" dxfId="0" priority="7227" operator="equal">
      <formula>"未完成"</formula>
    </cfRule>
  </conditionalFormatting>
  <conditionalFormatting sqref="AH39">
    <cfRule type="cellIs" dxfId="1" priority="7234" operator="equal">
      <formula>"未完成"</formula>
    </cfRule>
    <cfRule type="cellIs" dxfId="0" priority="7241" operator="equal">
      <formula>"未完成"</formula>
    </cfRule>
  </conditionalFormatting>
  <conditionalFormatting sqref="AJ39">
    <cfRule type="cellIs" dxfId="1" priority="7199" operator="equal">
      <formula>"未完成"</formula>
    </cfRule>
    <cfRule type="cellIs" dxfId="0" priority="7206" operator="equal">
      <formula>"未完成"</formula>
    </cfRule>
  </conditionalFormatting>
  <conditionalFormatting sqref="AK39">
    <cfRule type="cellIs" dxfId="1" priority="7248" operator="equal">
      <formula>"未完成"</formula>
    </cfRule>
    <cfRule type="cellIs" dxfId="0" priority="7255" operator="equal">
      <formula>"未完成"</formula>
    </cfRule>
  </conditionalFormatting>
  <conditionalFormatting sqref="AN39">
    <cfRule type="cellIs" dxfId="1" priority="7276" operator="equal">
      <formula>"未完成"</formula>
    </cfRule>
    <cfRule type="cellIs" dxfId="0" priority="7283" operator="equal">
      <formula>"未完成"</formula>
    </cfRule>
  </conditionalFormatting>
  <conditionalFormatting sqref="AO39">
    <cfRule type="cellIs" dxfId="1" priority="7290" operator="equal">
      <formula>"未完成"</formula>
    </cfRule>
    <cfRule type="cellIs" dxfId="0" priority="7297" operator="equal">
      <formula>"未完成"</formula>
    </cfRule>
  </conditionalFormatting>
  <conditionalFormatting sqref="AQ39">
    <cfRule type="cellIs" dxfId="1" priority="7262" operator="equal">
      <formula>"未完成"</formula>
    </cfRule>
    <cfRule type="cellIs" dxfId="0" priority="7269" operator="equal">
      <formula>"未完成"</formula>
    </cfRule>
  </conditionalFormatting>
  <conditionalFormatting sqref="AR39">
    <cfRule type="cellIs" dxfId="1" priority="7185" operator="equal">
      <formula>"未完成"</formula>
    </cfRule>
    <cfRule type="cellIs" dxfId="0" priority="7192" operator="equal">
      <formula>"未完成"</formula>
    </cfRule>
  </conditionalFormatting>
  <conditionalFormatting sqref="AS39:AT39">
    <cfRule type="cellIs" dxfId="1" priority="7213" operator="equal">
      <formula>"未完成"</formula>
    </cfRule>
    <cfRule type="cellIs" dxfId="0" priority="7220" operator="equal">
      <formula>"未完成"</formula>
    </cfRule>
  </conditionalFormatting>
  <conditionalFormatting sqref="R40">
    <cfRule type="cellIs" dxfId="0" priority="7177" operator="equal">
      <formula>"欠"</formula>
    </cfRule>
  </conditionalFormatting>
  <conditionalFormatting sqref="AC40">
    <cfRule type="cellIs" dxfId="0" priority="7226" operator="equal">
      <formula>"未完成"</formula>
    </cfRule>
  </conditionalFormatting>
  <conditionalFormatting sqref="AH40">
    <cfRule type="cellIs" dxfId="1" priority="7233" operator="equal">
      <formula>"未完成"</formula>
    </cfRule>
    <cfRule type="cellIs" dxfId="0" priority="7240" operator="equal">
      <formula>"未完成"</formula>
    </cfRule>
  </conditionalFormatting>
  <conditionalFormatting sqref="AJ40">
    <cfRule type="cellIs" dxfId="1" priority="7198" operator="equal">
      <formula>"未完成"</formula>
    </cfRule>
    <cfRule type="cellIs" dxfId="0" priority="7205" operator="equal">
      <formula>"未完成"</formula>
    </cfRule>
  </conditionalFormatting>
  <conditionalFormatting sqref="AK40">
    <cfRule type="cellIs" dxfId="1" priority="7247" operator="equal">
      <formula>"未完成"</formula>
    </cfRule>
    <cfRule type="cellIs" dxfId="0" priority="7254" operator="equal">
      <formula>"未完成"</formula>
    </cfRule>
  </conditionalFormatting>
  <conditionalFormatting sqref="AN40">
    <cfRule type="cellIs" dxfId="1" priority="7275" operator="equal">
      <formula>"未完成"</formula>
    </cfRule>
    <cfRule type="cellIs" dxfId="0" priority="7282" operator="equal">
      <formula>"未完成"</formula>
    </cfRule>
  </conditionalFormatting>
  <conditionalFormatting sqref="AO40">
    <cfRule type="cellIs" dxfId="1" priority="7289" operator="equal">
      <formula>"未完成"</formula>
    </cfRule>
    <cfRule type="cellIs" dxfId="0" priority="7296" operator="equal">
      <formula>"未完成"</formula>
    </cfRule>
  </conditionalFormatting>
  <conditionalFormatting sqref="AQ40">
    <cfRule type="cellIs" dxfId="1" priority="7261" operator="equal">
      <formula>"未完成"</formula>
    </cfRule>
    <cfRule type="cellIs" dxfId="0" priority="7268" operator="equal">
      <formula>"未完成"</formula>
    </cfRule>
  </conditionalFormatting>
  <conditionalFormatting sqref="AR40">
    <cfRule type="cellIs" dxfId="1" priority="7184" operator="equal">
      <formula>"未完成"</formula>
    </cfRule>
    <cfRule type="cellIs" dxfId="0" priority="7191" operator="equal">
      <formula>"未完成"</formula>
    </cfRule>
  </conditionalFormatting>
  <conditionalFormatting sqref="AS40:AT40">
    <cfRule type="cellIs" dxfId="1" priority="7212" operator="equal">
      <formula>"未完成"</formula>
    </cfRule>
    <cfRule type="cellIs" dxfId="0" priority="7219" operator="equal">
      <formula>"未完成"</formula>
    </cfRule>
  </conditionalFormatting>
  <conditionalFormatting sqref="R41">
    <cfRule type="cellIs" dxfId="0" priority="7176" operator="equal">
      <formula>"欠"</formula>
    </cfRule>
  </conditionalFormatting>
  <conditionalFormatting sqref="AC41">
    <cfRule type="cellIs" dxfId="0" priority="7225" operator="equal">
      <formula>"未完成"</formula>
    </cfRule>
  </conditionalFormatting>
  <conditionalFormatting sqref="AH41">
    <cfRule type="cellIs" dxfId="1" priority="7232" operator="equal">
      <formula>"未完成"</formula>
    </cfRule>
    <cfRule type="cellIs" dxfId="0" priority="7239" operator="equal">
      <formula>"未完成"</formula>
    </cfRule>
  </conditionalFormatting>
  <conditionalFormatting sqref="AJ41">
    <cfRule type="cellIs" dxfId="1" priority="7197" operator="equal">
      <formula>"未完成"</formula>
    </cfRule>
    <cfRule type="cellIs" dxfId="0" priority="7204" operator="equal">
      <formula>"未完成"</formula>
    </cfRule>
  </conditionalFormatting>
  <conditionalFormatting sqref="AK41">
    <cfRule type="cellIs" dxfId="1" priority="7246" operator="equal">
      <formula>"未完成"</formula>
    </cfRule>
    <cfRule type="cellIs" dxfId="0" priority="7253" operator="equal">
      <formula>"未完成"</formula>
    </cfRule>
  </conditionalFormatting>
  <conditionalFormatting sqref="AN41">
    <cfRule type="cellIs" dxfId="1" priority="7274" operator="equal">
      <formula>"未完成"</formula>
    </cfRule>
    <cfRule type="cellIs" dxfId="0" priority="7281" operator="equal">
      <formula>"未完成"</formula>
    </cfRule>
  </conditionalFormatting>
  <conditionalFormatting sqref="AO41">
    <cfRule type="cellIs" dxfId="1" priority="7288" operator="equal">
      <formula>"未完成"</formula>
    </cfRule>
    <cfRule type="cellIs" dxfId="0" priority="7295" operator="equal">
      <formula>"未完成"</formula>
    </cfRule>
  </conditionalFormatting>
  <conditionalFormatting sqref="AQ41">
    <cfRule type="cellIs" dxfId="1" priority="7260" operator="equal">
      <formula>"未完成"</formula>
    </cfRule>
    <cfRule type="cellIs" dxfId="0" priority="7267" operator="equal">
      <formula>"未完成"</formula>
    </cfRule>
  </conditionalFormatting>
  <conditionalFormatting sqref="AR41">
    <cfRule type="cellIs" dxfId="1" priority="7183" operator="equal">
      <formula>"未完成"</formula>
    </cfRule>
    <cfRule type="cellIs" dxfId="0" priority="7190" operator="equal">
      <formula>"未完成"</formula>
    </cfRule>
  </conditionalFormatting>
  <conditionalFormatting sqref="AS41:AT41">
    <cfRule type="cellIs" dxfId="1" priority="7211" operator="equal">
      <formula>"未完成"</formula>
    </cfRule>
    <cfRule type="cellIs" dxfId="0" priority="7218" operator="equal">
      <formula>"未完成"</formula>
    </cfRule>
  </conditionalFormatting>
  <conditionalFormatting sqref="R42">
    <cfRule type="cellIs" dxfId="0" priority="7175" operator="equal">
      <formula>"欠"</formula>
    </cfRule>
  </conditionalFormatting>
  <conditionalFormatting sqref="AC42">
    <cfRule type="cellIs" dxfId="0" priority="7224" operator="equal">
      <formula>"未完成"</formula>
    </cfRule>
  </conditionalFormatting>
  <conditionalFormatting sqref="AH42">
    <cfRule type="cellIs" dxfId="1" priority="7231" operator="equal">
      <formula>"未完成"</formula>
    </cfRule>
    <cfRule type="cellIs" dxfId="0" priority="7238" operator="equal">
      <formula>"未完成"</formula>
    </cfRule>
  </conditionalFormatting>
  <conditionalFormatting sqref="AJ42">
    <cfRule type="cellIs" dxfId="1" priority="7196" operator="equal">
      <formula>"未完成"</formula>
    </cfRule>
    <cfRule type="cellIs" dxfId="0" priority="7203" operator="equal">
      <formula>"未完成"</formula>
    </cfRule>
  </conditionalFormatting>
  <conditionalFormatting sqref="AN42">
    <cfRule type="cellIs" dxfId="1" priority="7273" operator="equal">
      <formula>"未完成"</formula>
    </cfRule>
    <cfRule type="cellIs" dxfId="0" priority="7280" operator="equal">
      <formula>"未完成"</formula>
    </cfRule>
  </conditionalFormatting>
  <conditionalFormatting sqref="AO42">
    <cfRule type="cellIs" dxfId="1" priority="7287" operator="equal">
      <formula>"未完成"</formula>
    </cfRule>
    <cfRule type="cellIs" dxfId="0" priority="7294" operator="equal">
      <formula>"未完成"</formula>
    </cfRule>
  </conditionalFormatting>
  <conditionalFormatting sqref="AR42">
    <cfRule type="cellIs" dxfId="1" priority="7182" operator="equal">
      <formula>"未完成"</formula>
    </cfRule>
    <cfRule type="cellIs" dxfId="0" priority="7189" operator="equal">
      <formula>"未完成"</formula>
    </cfRule>
  </conditionalFormatting>
  <conditionalFormatting sqref="AS42:AT42">
    <cfRule type="cellIs" dxfId="1" priority="7210" operator="equal">
      <formula>"未完成"</formula>
    </cfRule>
    <cfRule type="cellIs" dxfId="0" priority="7217" operator="equal">
      <formula>"未完成"</formula>
    </cfRule>
  </conditionalFormatting>
  <conditionalFormatting sqref="R43">
    <cfRule type="cellIs" dxfId="0" priority="6554" operator="equal">
      <formula>"欠"</formula>
    </cfRule>
  </conditionalFormatting>
  <conditionalFormatting sqref="AC43">
    <cfRule type="cellIs" dxfId="0" priority="6561" operator="equal">
      <formula>"未完成"</formula>
    </cfRule>
  </conditionalFormatting>
  <conditionalFormatting sqref="AG43:AH43">
    <cfRule type="cellIs" dxfId="1" priority="6562" operator="equal">
      <formula>"未完成"</formula>
    </cfRule>
    <cfRule type="cellIs" dxfId="0" priority="6563" operator="equal">
      <formula>"未完成"</formula>
    </cfRule>
  </conditionalFormatting>
  <conditionalFormatting sqref="AJ43">
    <cfRule type="cellIs" dxfId="1" priority="6557" operator="equal">
      <formula>"未完成"</formula>
    </cfRule>
    <cfRule type="cellIs" dxfId="0" priority="6558" operator="equal">
      <formula>"未完成"</formula>
    </cfRule>
  </conditionalFormatting>
  <conditionalFormatting sqref="AK43">
    <cfRule type="cellIs" dxfId="1" priority="6564" operator="equal">
      <formula>"未完成"</formula>
    </cfRule>
    <cfRule type="cellIs" dxfId="0" priority="6565" operator="equal">
      <formula>"未完成"</formula>
    </cfRule>
  </conditionalFormatting>
  <conditionalFormatting sqref="AN43">
    <cfRule type="cellIs" dxfId="1" priority="6568" operator="equal">
      <formula>"未完成"</formula>
    </cfRule>
    <cfRule type="cellIs" dxfId="0" priority="6569" operator="equal">
      <formula>"未完成"</formula>
    </cfRule>
  </conditionalFormatting>
  <conditionalFormatting sqref="AO43">
    <cfRule type="cellIs" dxfId="1" priority="6570" operator="equal">
      <formula>"未完成"</formula>
    </cfRule>
    <cfRule type="cellIs" dxfId="0" priority="6571" operator="equal">
      <formula>"未完成"</formula>
    </cfRule>
  </conditionalFormatting>
  <conditionalFormatting sqref="AQ43">
    <cfRule type="cellIs" dxfId="1" priority="6566" operator="equal">
      <formula>"未完成"</formula>
    </cfRule>
    <cfRule type="cellIs" dxfId="0" priority="6567" operator="equal">
      <formula>"未完成"</formula>
    </cfRule>
  </conditionalFormatting>
  <conditionalFormatting sqref="AR43">
    <cfRule type="cellIs" dxfId="1" priority="6555" operator="equal">
      <formula>"未完成"</formula>
    </cfRule>
    <cfRule type="cellIs" dxfId="0" priority="6556" operator="equal">
      <formula>"未完成"</formula>
    </cfRule>
  </conditionalFormatting>
  <conditionalFormatting sqref="AS43:AT43">
    <cfRule type="cellIs" dxfId="1" priority="6559" operator="equal">
      <formula>"未完成"</formula>
    </cfRule>
    <cfRule type="cellIs" dxfId="0" priority="6560" operator="equal">
      <formula>"未完成"</formula>
    </cfRule>
  </conditionalFormatting>
  <conditionalFormatting sqref="R44">
    <cfRule type="cellIs" dxfId="0" priority="6574" operator="equal">
      <formula>"欠"</formula>
    </cfRule>
  </conditionalFormatting>
  <conditionalFormatting sqref="AC44">
    <cfRule type="cellIs" dxfId="0" priority="6589" operator="equal">
      <formula>"未完成"</formula>
    </cfRule>
  </conditionalFormatting>
  <conditionalFormatting sqref="AH44">
    <cfRule type="cellIs" dxfId="1" priority="6590" operator="equal">
      <formula>"未完成"</formula>
    </cfRule>
    <cfRule type="cellIs" dxfId="0" priority="6591" operator="equal">
      <formula>"未完成"</formula>
    </cfRule>
  </conditionalFormatting>
  <conditionalFormatting sqref="AJ44">
    <cfRule type="cellIs" dxfId="1" priority="6581" operator="equal">
      <formula>"未完成"</formula>
    </cfRule>
    <cfRule type="cellIs" dxfId="0" priority="6582" operator="equal">
      <formula>"未完成"</formula>
    </cfRule>
  </conditionalFormatting>
  <conditionalFormatting sqref="AK44">
    <cfRule type="cellIs" dxfId="1" priority="6575" operator="equal">
      <formula>"未完成"</formula>
    </cfRule>
    <cfRule type="cellIs" dxfId="0" priority="6576" operator="equal">
      <formula>"未完成"</formula>
    </cfRule>
  </conditionalFormatting>
  <conditionalFormatting sqref="AN44">
    <cfRule type="cellIs" dxfId="1" priority="6583" operator="equal">
      <formula>"未完成"</formula>
    </cfRule>
    <cfRule type="cellIs" dxfId="0" priority="6584" operator="equal">
      <formula>"未完成"</formula>
    </cfRule>
  </conditionalFormatting>
  <conditionalFormatting sqref="AO44">
    <cfRule type="cellIs" dxfId="1" priority="6585" operator="equal">
      <formula>"未完成"</formula>
    </cfRule>
    <cfRule type="cellIs" dxfId="0" priority="6586" operator="equal">
      <formula>"未完成"</formula>
    </cfRule>
  </conditionalFormatting>
  <conditionalFormatting sqref="AR44">
    <cfRule type="cellIs" dxfId="1" priority="6579" operator="equal">
      <formula>"未完成"</formula>
    </cfRule>
    <cfRule type="cellIs" dxfId="0" priority="6580" operator="equal">
      <formula>"未完成"</formula>
    </cfRule>
  </conditionalFormatting>
  <conditionalFormatting sqref="AS44:AT44">
    <cfRule type="cellIs" dxfId="1" priority="6587" operator="equal">
      <formula>"未完成"</formula>
    </cfRule>
    <cfRule type="cellIs" dxfId="0" priority="6588" operator="equal">
      <formula>"未完成"</formula>
    </cfRule>
  </conditionalFormatting>
  <conditionalFormatting sqref="AN45">
    <cfRule type="cellIs" dxfId="1" priority="10282" operator="equal">
      <formula>"未完成"</formula>
    </cfRule>
    <cfRule type="cellIs" dxfId="0" priority="10283" operator="equal">
      <formula>"未完成"</formula>
    </cfRule>
  </conditionalFormatting>
  <conditionalFormatting sqref="AC46">
    <cfRule type="cellIs" dxfId="0" priority="7852" operator="equal">
      <formula>"未完成"</formula>
    </cfRule>
  </conditionalFormatting>
  <conditionalFormatting sqref="AH46">
    <cfRule type="cellIs" dxfId="1" priority="7853" operator="equal">
      <formula>"未完成"</formula>
    </cfRule>
    <cfRule type="cellIs" dxfId="0" priority="7854" operator="equal">
      <formula>"未完成"</formula>
    </cfRule>
  </conditionalFormatting>
  <conditionalFormatting sqref="AJ46">
    <cfRule type="cellIs" dxfId="1" priority="7839" operator="equal">
      <formula>"未完成"</formula>
    </cfRule>
    <cfRule type="cellIs" dxfId="0" priority="7840" operator="equal">
      <formula>"未完成"</formula>
    </cfRule>
  </conditionalFormatting>
  <conditionalFormatting sqref="AN46">
    <cfRule type="cellIs" dxfId="1" priority="7841" operator="equal">
      <formula>"未完成"</formula>
    </cfRule>
    <cfRule type="cellIs" dxfId="0" priority="7842" operator="equal">
      <formula>"未完成"</formula>
    </cfRule>
  </conditionalFormatting>
  <conditionalFormatting sqref="AO46">
    <cfRule type="cellIs" dxfId="1" priority="7844" operator="equal">
      <formula>"未完成"</formula>
    </cfRule>
    <cfRule type="cellIs" dxfId="0" priority="7845" operator="equal">
      <formula>"未完成"</formula>
    </cfRule>
  </conditionalFormatting>
  <conditionalFormatting sqref="AR46">
    <cfRule type="cellIs" dxfId="1" priority="7837" operator="equal">
      <formula>"未完成"</formula>
    </cfRule>
    <cfRule type="cellIs" dxfId="0" priority="7838" operator="equal">
      <formula>"未完成"</formula>
    </cfRule>
  </conditionalFormatting>
  <conditionalFormatting sqref="AS46:AT46">
    <cfRule type="cellIs" dxfId="1" priority="7850" operator="equal">
      <formula>"未完成"</formula>
    </cfRule>
    <cfRule type="cellIs" dxfId="0" priority="7851" operator="equal">
      <formula>"未完成"</formula>
    </cfRule>
  </conditionalFormatting>
  <conditionalFormatting sqref="R47">
    <cfRule type="cellIs" dxfId="0" priority="5734" operator="equal">
      <formula>"欠"</formula>
    </cfRule>
  </conditionalFormatting>
  <conditionalFormatting sqref="T47">
    <cfRule type="cellIs" dxfId="0" priority="5724" operator="equal">
      <formula>"欠"</formula>
    </cfRule>
  </conditionalFormatting>
  <conditionalFormatting sqref="AC47">
    <cfRule type="cellIs" dxfId="0" priority="5844" operator="equal">
      <formula>"未完成"</formula>
    </cfRule>
  </conditionalFormatting>
  <conditionalFormatting sqref="AH47">
    <cfRule type="cellIs" dxfId="1" priority="5854" operator="equal">
      <formula>"未完成"</formula>
    </cfRule>
    <cfRule type="cellIs" dxfId="0" priority="5864" operator="equal">
      <formula>"未完成"</formula>
    </cfRule>
  </conditionalFormatting>
  <conditionalFormatting sqref="AI47">
    <cfRule type="cellIs" dxfId="1" priority="5914" operator="equal">
      <formula>"未完成"</formula>
    </cfRule>
    <cfRule type="cellIs" dxfId="0" priority="5924" operator="equal">
      <formula>"未完成"</formula>
    </cfRule>
  </conditionalFormatting>
  <conditionalFormatting sqref="AJ47">
    <cfRule type="cellIs" dxfId="1" priority="5764" operator="equal">
      <formula>"未完成"</formula>
    </cfRule>
    <cfRule type="cellIs" dxfId="0" priority="5774" operator="equal">
      <formula>"未完成"</formula>
    </cfRule>
  </conditionalFormatting>
  <conditionalFormatting sqref="AK47">
    <cfRule type="cellIs" dxfId="1" priority="5874" operator="equal">
      <formula>"未完成"</formula>
    </cfRule>
    <cfRule type="cellIs" dxfId="0" priority="5884" operator="equal">
      <formula>"未完成"</formula>
    </cfRule>
  </conditionalFormatting>
  <conditionalFormatting sqref="AN47">
    <cfRule type="cellIs" dxfId="1" priority="5784" operator="equal">
      <formula>"未完成"</formula>
    </cfRule>
    <cfRule type="cellIs" dxfId="0" priority="5794" operator="equal">
      <formula>"未完成"</formula>
    </cfRule>
  </conditionalFormatting>
  <conditionalFormatting sqref="AO47">
    <cfRule type="cellIs" dxfId="1" priority="5804" operator="equal">
      <formula>"未完成"</formula>
    </cfRule>
    <cfRule type="cellIs" dxfId="0" priority="5814" operator="equal">
      <formula>"未完成"</formula>
    </cfRule>
  </conditionalFormatting>
  <conditionalFormatting sqref="AQ47">
    <cfRule type="cellIs" dxfId="1" priority="5894" operator="equal">
      <formula>"未完成"</formula>
    </cfRule>
    <cfRule type="cellIs" dxfId="0" priority="5904" operator="equal">
      <formula>"未完成"</formula>
    </cfRule>
  </conditionalFormatting>
  <conditionalFormatting sqref="AR47">
    <cfRule type="cellIs" dxfId="1" priority="5744" operator="equal">
      <formula>"未完成"</formula>
    </cfRule>
    <cfRule type="cellIs" dxfId="0" priority="5754" operator="equal">
      <formula>"未完成"</formula>
    </cfRule>
  </conditionalFormatting>
  <conditionalFormatting sqref="AS47:AT47">
    <cfRule type="cellIs" dxfId="1" priority="5824" operator="equal">
      <formula>"未完成"</formula>
    </cfRule>
    <cfRule type="cellIs" dxfId="0" priority="5834" operator="equal">
      <formula>"未完成"</formula>
    </cfRule>
  </conditionalFormatting>
  <conditionalFormatting sqref="R48">
    <cfRule type="cellIs" dxfId="0" priority="5733" operator="equal">
      <formula>"欠"</formula>
    </cfRule>
  </conditionalFormatting>
  <conditionalFormatting sqref="T48">
    <cfRule type="cellIs" dxfId="0" priority="5723" operator="equal">
      <formula>"欠"</formula>
    </cfRule>
  </conditionalFormatting>
  <conditionalFormatting sqref="AC48">
    <cfRule type="cellIs" dxfId="0" priority="5843" operator="equal">
      <formula>"未完成"</formula>
    </cfRule>
  </conditionalFormatting>
  <conditionalFormatting sqref="AH48">
    <cfRule type="cellIs" dxfId="1" priority="5853" operator="equal">
      <formula>"未完成"</formula>
    </cfRule>
    <cfRule type="cellIs" dxfId="0" priority="5863" operator="equal">
      <formula>"未完成"</formula>
    </cfRule>
  </conditionalFormatting>
  <conditionalFormatting sqref="AI48">
    <cfRule type="cellIs" dxfId="1" priority="5913" operator="equal">
      <formula>"未完成"</formula>
    </cfRule>
    <cfRule type="cellIs" dxfId="0" priority="5923" operator="equal">
      <formula>"未完成"</formula>
    </cfRule>
  </conditionalFormatting>
  <conditionalFormatting sqref="AJ48">
    <cfRule type="cellIs" dxfId="1" priority="5763" operator="equal">
      <formula>"未完成"</formula>
    </cfRule>
    <cfRule type="cellIs" dxfId="0" priority="5773" operator="equal">
      <formula>"未完成"</formula>
    </cfRule>
  </conditionalFormatting>
  <conditionalFormatting sqref="AK48">
    <cfRule type="cellIs" dxfId="1" priority="5873" operator="equal">
      <formula>"未完成"</formula>
    </cfRule>
    <cfRule type="cellIs" dxfId="0" priority="5883" operator="equal">
      <formula>"未完成"</formula>
    </cfRule>
  </conditionalFormatting>
  <conditionalFormatting sqref="AN48">
    <cfRule type="cellIs" dxfId="1" priority="5783" operator="equal">
      <formula>"未完成"</formula>
    </cfRule>
    <cfRule type="cellIs" dxfId="0" priority="5793" operator="equal">
      <formula>"未完成"</formula>
    </cfRule>
  </conditionalFormatting>
  <conditionalFormatting sqref="AO48">
    <cfRule type="cellIs" dxfId="1" priority="5803" operator="equal">
      <formula>"未完成"</formula>
    </cfRule>
    <cfRule type="cellIs" dxfId="0" priority="5813" operator="equal">
      <formula>"未完成"</formula>
    </cfRule>
  </conditionalFormatting>
  <conditionalFormatting sqref="AQ48">
    <cfRule type="cellIs" dxfId="1" priority="5893" operator="equal">
      <formula>"未完成"</formula>
    </cfRule>
    <cfRule type="cellIs" dxfId="0" priority="5903" operator="equal">
      <formula>"未完成"</formula>
    </cfRule>
  </conditionalFormatting>
  <conditionalFormatting sqref="AR48">
    <cfRule type="cellIs" dxfId="1" priority="5743" operator="equal">
      <formula>"未完成"</formula>
    </cfRule>
    <cfRule type="cellIs" dxfId="0" priority="5753" operator="equal">
      <formula>"未完成"</formula>
    </cfRule>
  </conditionalFormatting>
  <conditionalFormatting sqref="AS48:AT48">
    <cfRule type="cellIs" dxfId="1" priority="5823" operator="equal">
      <formula>"未完成"</formula>
    </cfRule>
    <cfRule type="cellIs" dxfId="0" priority="5833" operator="equal">
      <formula>"未完成"</formula>
    </cfRule>
  </conditionalFormatting>
  <conditionalFormatting sqref="R49">
    <cfRule type="cellIs" dxfId="0" priority="5732" operator="equal">
      <formula>"欠"</formula>
    </cfRule>
  </conditionalFormatting>
  <conditionalFormatting sqref="T49">
    <cfRule type="cellIs" dxfId="0" priority="5722" operator="equal">
      <formula>"欠"</formula>
    </cfRule>
  </conditionalFormatting>
  <conditionalFormatting sqref="AC49">
    <cfRule type="cellIs" dxfId="0" priority="5842" operator="equal">
      <formula>"未完成"</formula>
    </cfRule>
  </conditionalFormatting>
  <conditionalFormatting sqref="AH49">
    <cfRule type="cellIs" dxfId="1" priority="5852" operator="equal">
      <formula>"未完成"</formula>
    </cfRule>
    <cfRule type="cellIs" dxfId="0" priority="5862" operator="equal">
      <formula>"未完成"</formula>
    </cfRule>
  </conditionalFormatting>
  <conditionalFormatting sqref="AI49">
    <cfRule type="cellIs" dxfId="1" priority="5912" operator="equal">
      <formula>"未完成"</formula>
    </cfRule>
    <cfRule type="cellIs" dxfId="0" priority="5922" operator="equal">
      <formula>"未完成"</formula>
    </cfRule>
  </conditionalFormatting>
  <conditionalFormatting sqref="AJ49">
    <cfRule type="cellIs" dxfId="1" priority="5762" operator="equal">
      <formula>"未完成"</formula>
    </cfRule>
    <cfRule type="cellIs" dxfId="0" priority="5772" operator="equal">
      <formula>"未完成"</formula>
    </cfRule>
  </conditionalFormatting>
  <conditionalFormatting sqref="AK49">
    <cfRule type="cellIs" dxfId="1" priority="5872" operator="equal">
      <formula>"未完成"</formula>
    </cfRule>
    <cfRule type="cellIs" dxfId="0" priority="5882" operator="equal">
      <formula>"未完成"</formula>
    </cfRule>
  </conditionalFormatting>
  <conditionalFormatting sqref="AN49">
    <cfRule type="cellIs" dxfId="1" priority="5782" operator="equal">
      <formula>"未完成"</formula>
    </cfRule>
    <cfRule type="cellIs" dxfId="0" priority="5792" operator="equal">
      <formula>"未完成"</formula>
    </cfRule>
  </conditionalFormatting>
  <conditionalFormatting sqref="AO49">
    <cfRule type="cellIs" dxfId="1" priority="5802" operator="equal">
      <formula>"未完成"</formula>
    </cfRule>
    <cfRule type="cellIs" dxfId="0" priority="5812" operator="equal">
      <formula>"未完成"</formula>
    </cfRule>
  </conditionalFormatting>
  <conditionalFormatting sqref="AQ49">
    <cfRule type="cellIs" dxfId="1" priority="5892" operator="equal">
      <formula>"未完成"</formula>
    </cfRule>
    <cfRule type="cellIs" dxfId="0" priority="5902" operator="equal">
      <formula>"未完成"</formula>
    </cfRule>
  </conditionalFormatting>
  <conditionalFormatting sqref="AR49">
    <cfRule type="cellIs" dxfId="1" priority="5742" operator="equal">
      <formula>"未完成"</formula>
    </cfRule>
    <cfRule type="cellIs" dxfId="0" priority="5752" operator="equal">
      <formula>"未完成"</formula>
    </cfRule>
  </conditionalFormatting>
  <conditionalFormatting sqref="AS49:AT49">
    <cfRule type="cellIs" dxfId="1" priority="5822" operator="equal">
      <formula>"未完成"</formula>
    </cfRule>
    <cfRule type="cellIs" dxfId="0" priority="5832" operator="equal">
      <formula>"未完成"</formula>
    </cfRule>
  </conditionalFormatting>
  <conditionalFormatting sqref="R50">
    <cfRule type="cellIs" dxfId="0" priority="5731" operator="equal">
      <formula>"欠"</formula>
    </cfRule>
  </conditionalFormatting>
  <conditionalFormatting sqref="T50">
    <cfRule type="cellIs" dxfId="0" priority="5721" operator="equal">
      <formula>"欠"</formula>
    </cfRule>
  </conditionalFormatting>
  <conditionalFormatting sqref="AC50">
    <cfRule type="cellIs" dxfId="0" priority="5841" operator="equal">
      <formula>"未完成"</formula>
    </cfRule>
  </conditionalFormatting>
  <conditionalFormatting sqref="AH50">
    <cfRule type="cellIs" dxfId="1" priority="5851" operator="equal">
      <formula>"未完成"</formula>
    </cfRule>
    <cfRule type="cellIs" dxfId="0" priority="5861" operator="equal">
      <formula>"未完成"</formula>
    </cfRule>
  </conditionalFormatting>
  <conditionalFormatting sqref="AI50">
    <cfRule type="cellIs" dxfId="1" priority="5911" operator="equal">
      <formula>"未完成"</formula>
    </cfRule>
    <cfRule type="cellIs" dxfId="0" priority="5921" operator="equal">
      <formula>"未完成"</formula>
    </cfRule>
  </conditionalFormatting>
  <conditionalFormatting sqref="AJ50">
    <cfRule type="cellIs" dxfId="1" priority="5761" operator="equal">
      <formula>"未完成"</formula>
    </cfRule>
    <cfRule type="cellIs" dxfId="0" priority="5771" operator="equal">
      <formula>"未完成"</formula>
    </cfRule>
  </conditionalFormatting>
  <conditionalFormatting sqref="AK50">
    <cfRule type="cellIs" dxfId="1" priority="5871" operator="equal">
      <formula>"未完成"</formula>
    </cfRule>
    <cfRule type="cellIs" dxfId="0" priority="5881" operator="equal">
      <formula>"未完成"</formula>
    </cfRule>
  </conditionalFormatting>
  <conditionalFormatting sqref="AN50">
    <cfRule type="cellIs" dxfId="1" priority="5781" operator="equal">
      <formula>"未完成"</formula>
    </cfRule>
    <cfRule type="cellIs" dxfId="0" priority="5791" operator="equal">
      <formula>"未完成"</formula>
    </cfRule>
  </conditionalFormatting>
  <conditionalFormatting sqref="AO50">
    <cfRule type="cellIs" dxfId="1" priority="5801" operator="equal">
      <formula>"未完成"</formula>
    </cfRule>
    <cfRule type="cellIs" dxfId="0" priority="5811" operator="equal">
      <formula>"未完成"</formula>
    </cfRule>
  </conditionalFormatting>
  <conditionalFormatting sqref="AQ50">
    <cfRule type="cellIs" dxfId="1" priority="5891" operator="equal">
      <formula>"未完成"</formula>
    </cfRule>
    <cfRule type="cellIs" dxfId="0" priority="5901" operator="equal">
      <formula>"未完成"</formula>
    </cfRule>
  </conditionalFormatting>
  <conditionalFormatting sqref="AR50">
    <cfRule type="cellIs" dxfId="1" priority="5741" operator="equal">
      <formula>"未完成"</formula>
    </cfRule>
    <cfRule type="cellIs" dxfId="0" priority="5751" operator="equal">
      <formula>"未完成"</formula>
    </cfRule>
  </conditionalFormatting>
  <conditionalFormatting sqref="AS50:AT50">
    <cfRule type="cellIs" dxfId="1" priority="5821" operator="equal">
      <formula>"未完成"</formula>
    </cfRule>
    <cfRule type="cellIs" dxfId="0" priority="5831" operator="equal">
      <formula>"未完成"</formula>
    </cfRule>
  </conditionalFormatting>
  <conditionalFormatting sqref="R51">
    <cfRule type="cellIs" dxfId="0" priority="5730" operator="equal">
      <formula>"欠"</formula>
    </cfRule>
  </conditionalFormatting>
  <conditionalFormatting sqref="T51">
    <cfRule type="cellIs" dxfId="0" priority="5720" operator="equal">
      <formula>"欠"</formula>
    </cfRule>
  </conditionalFormatting>
  <conditionalFormatting sqref="AC51">
    <cfRule type="cellIs" dxfId="0" priority="5840" operator="equal">
      <formula>"未完成"</formula>
    </cfRule>
  </conditionalFormatting>
  <conditionalFormatting sqref="AH51">
    <cfRule type="cellIs" dxfId="1" priority="5850" operator="equal">
      <formula>"未完成"</formula>
    </cfRule>
    <cfRule type="cellIs" dxfId="0" priority="5860" operator="equal">
      <formula>"未完成"</formula>
    </cfRule>
  </conditionalFormatting>
  <conditionalFormatting sqref="AI51">
    <cfRule type="cellIs" dxfId="1" priority="5910" operator="equal">
      <formula>"未完成"</formula>
    </cfRule>
    <cfRule type="cellIs" dxfId="0" priority="5920" operator="equal">
      <formula>"未完成"</formula>
    </cfRule>
  </conditionalFormatting>
  <conditionalFormatting sqref="AJ51">
    <cfRule type="cellIs" dxfId="1" priority="5760" operator="equal">
      <formula>"未完成"</formula>
    </cfRule>
    <cfRule type="cellIs" dxfId="0" priority="5770" operator="equal">
      <formula>"未完成"</formula>
    </cfRule>
  </conditionalFormatting>
  <conditionalFormatting sqref="AK51">
    <cfRule type="cellIs" dxfId="1" priority="5870" operator="equal">
      <formula>"未完成"</formula>
    </cfRule>
    <cfRule type="cellIs" dxfId="0" priority="5880" operator="equal">
      <formula>"未完成"</formula>
    </cfRule>
  </conditionalFormatting>
  <conditionalFormatting sqref="AN51">
    <cfRule type="cellIs" dxfId="1" priority="5780" operator="equal">
      <formula>"未完成"</formula>
    </cfRule>
    <cfRule type="cellIs" dxfId="0" priority="5790" operator="equal">
      <formula>"未完成"</formula>
    </cfRule>
  </conditionalFormatting>
  <conditionalFormatting sqref="AO51">
    <cfRule type="cellIs" dxfId="1" priority="5800" operator="equal">
      <formula>"未完成"</formula>
    </cfRule>
    <cfRule type="cellIs" dxfId="0" priority="5810" operator="equal">
      <formula>"未完成"</formula>
    </cfRule>
  </conditionalFormatting>
  <conditionalFormatting sqref="AQ51">
    <cfRule type="cellIs" dxfId="1" priority="5890" operator="equal">
      <formula>"未完成"</formula>
    </cfRule>
    <cfRule type="cellIs" dxfId="0" priority="5900" operator="equal">
      <formula>"未完成"</formula>
    </cfRule>
  </conditionalFormatting>
  <conditionalFormatting sqref="AR51">
    <cfRule type="cellIs" dxfId="1" priority="5740" operator="equal">
      <formula>"未完成"</formula>
    </cfRule>
    <cfRule type="cellIs" dxfId="0" priority="5750" operator="equal">
      <formula>"未完成"</formula>
    </cfRule>
  </conditionalFormatting>
  <conditionalFormatting sqref="AS51:AT51">
    <cfRule type="cellIs" dxfId="1" priority="5820" operator="equal">
      <formula>"未完成"</formula>
    </cfRule>
    <cfRule type="cellIs" dxfId="0" priority="5830" operator="equal">
      <formula>"未完成"</formula>
    </cfRule>
  </conditionalFormatting>
  <conditionalFormatting sqref="R52">
    <cfRule type="cellIs" dxfId="0" priority="5729" operator="equal">
      <formula>"欠"</formula>
    </cfRule>
  </conditionalFormatting>
  <conditionalFormatting sqref="T52">
    <cfRule type="cellIs" dxfId="0" priority="5719" operator="equal">
      <formula>"欠"</formula>
    </cfRule>
  </conditionalFormatting>
  <conditionalFormatting sqref="AC52">
    <cfRule type="cellIs" dxfId="0" priority="5839" operator="equal">
      <formula>"未完成"</formula>
    </cfRule>
  </conditionalFormatting>
  <conditionalFormatting sqref="AH52">
    <cfRule type="cellIs" dxfId="1" priority="5849" operator="equal">
      <formula>"未完成"</formula>
    </cfRule>
    <cfRule type="cellIs" dxfId="0" priority="5859" operator="equal">
      <formula>"未完成"</formula>
    </cfRule>
  </conditionalFormatting>
  <conditionalFormatting sqref="AI52">
    <cfRule type="cellIs" dxfId="1" priority="5909" operator="equal">
      <formula>"未完成"</formula>
    </cfRule>
    <cfRule type="cellIs" dxfId="0" priority="5919" operator="equal">
      <formula>"未完成"</formula>
    </cfRule>
  </conditionalFormatting>
  <conditionalFormatting sqref="AJ52">
    <cfRule type="cellIs" dxfId="1" priority="5759" operator="equal">
      <formula>"未完成"</formula>
    </cfRule>
    <cfRule type="cellIs" dxfId="0" priority="5769" operator="equal">
      <formula>"未完成"</formula>
    </cfRule>
  </conditionalFormatting>
  <conditionalFormatting sqref="AK52">
    <cfRule type="cellIs" dxfId="1" priority="5869" operator="equal">
      <formula>"未完成"</formula>
    </cfRule>
    <cfRule type="cellIs" dxfId="0" priority="5879" operator="equal">
      <formula>"未完成"</formula>
    </cfRule>
  </conditionalFormatting>
  <conditionalFormatting sqref="AN52">
    <cfRule type="cellIs" dxfId="1" priority="5779" operator="equal">
      <formula>"未完成"</formula>
    </cfRule>
    <cfRule type="cellIs" dxfId="0" priority="5789" operator="equal">
      <formula>"未完成"</formula>
    </cfRule>
  </conditionalFormatting>
  <conditionalFormatting sqref="AO52">
    <cfRule type="cellIs" dxfId="1" priority="5799" operator="equal">
      <formula>"未完成"</formula>
    </cfRule>
    <cfRule type="cellIs" dxfId="0" priority="5809" operator="equal">
      <formula>"未完成"</formula>
    </cfRule>
  </conditionalFormatting>
  <conditionalFormatting sqref="AQ52">
    <cfRule type="cellIs" dxfId="1" priority="5889" operator="equal">
      <formula>"未完成"</formula>
    </cfRule>
    <cfRule type="cellIs" dxfId="0" priority="5899" operator="equal">
      <formula>"未完成"</formula>
    </cfRule>
  </conditionalFormatting>
  <conditionalFormatting sqref="AR52">
    <cfRule type="cellIs" dxfId="1" priority="5739" operator="equal">
      <formula>"未完成"</formula>
    </cfRule>
    <cfRule type="cellIs" dxfId="0" priority="5749" operator="equal">
      <formula>"未完成"</formula>
    </cfRule>
  </conditionalFormatting>
  <conditionalFormatting sqref="AS52:AT52">
    <cfRule type="cellIs" dxfId="1" priority="5819" operator="equal">
      <formula>"未完成"</formula>
    </cfRule>
    <cfRule type="cellIs" dxfId="0" priority="5829" operator="equal">
      <formula>"未完成"</formula>
    </cfRule>
  </conditionalFormatting>
  <conditionalFormatting sqref="R53">
    <cfRule type="cellIs" dxfId="0" priority="5728" operator="equal">
      <formula>"欠"</formula>
    </cfRule>
  </conditionalFormatting>
  <conditionalFormatting sqref="T53">
    <cfRule type="cellIs" dxfId="0" priority="5718" operator="equal">
      <formula>"欠"</formula>
    </cfRule>
  </conditionalFormatting>
  <conditionalFormatting sqref="AC53">
    <cfRule type="cellIs" dxfId="0" priority="5838" operator="equal">
      <formula>"未完成"</formula>
    </cfRule>
  </conditionalFormatting>
  <conditionalFormatting sqref="AH53">
    <cfRule type="cellIs" dxfId="1" priority="5848" operator="equal">
      <formula>"未完成"</formula>
    </cfRule>
    <cfRule type="cellIs" dxfId="0" priority="5858" operator="equal">
      <formula>"未完成"</formula>
    </cfRule>
  </conditionalFormatting>
  <conditionalFormatting sqref="AI53">
    <cfRule type="cellIs" dxfId="1" priority="5908" operator="equal">
      <formula>"未完成"</formula>
    </cfRule>
    <cfRule type="cellIs" dxfId="0" priority="5918" operator="equal">
      <formula>"未完成"</formula>
    </cfRule>
  </conditionalFormatting>
  <conditionalFormatting sqref="AJ53">
    <cfRule type="cellIs" dxfId="1" priority="5758" operator="equal">
      <formula>"未完成"</formula>
    </cfRule>
    <cfRule type="cellIs" dxfId="0" priority="5768" operator="equal">
      <formula>"未完成"</formula>
    </cfRule>
  </conditionalFormatting>
  <conditionalFormatting sqref="AK53">
    <cfRule type="cellIs" dxfId="1" priority="5868" operator="equal">
      <formula>"未完成"</formula>
    </cfRule>
    <cfRule type="cellIs" dxfId="0" priority="5878" operator="equal">
      <formula>"未完成"</formula>
    </cfRule>
  </conditionalFormatting>
  <conditionalFormatting sqref="AN53">
    <cfRule type="cellIs" dxfId="1" priority="5778" operator="equal">
      <formula>"未完成"</formula>
    </cfRule>
    <cfRule type="cellIs" dxfId="0" priority="5788" operator="equal">
      <formula>"未完成"</formula>
    </cfRule>
  </conditionalFormatting>
  <conditionalFormatting sqref="AO53">
    <cfRule type="cellIs" dxfId="1" priority="5798" operator="equal">
      <formula>"未完成"</formula>
    </cfRule>
    <cfRule type="cellIs" dxfId="0" priority="5808" operator="equal">
      <formula>"未完成"</formula>
    </cfRule>
  </conditionalFormatting>
  <conditionalFormatting sqref="AQ53">
    <cfRule type="cellIs" dxfId="1" priority="5888" operator="equal">
      <formula>"未完成"</formula>
    </cfRule>
    <cfRule type="cellIs" dxfId="0" priority="5898" operator="equal">
      <formula>"未完成"</formula>
    </cfRule>
  </conditionalFormatting>
  <conditionalFormatting sqref="AR53">
    <cfRule type="cellIs" dxfId="1" priority="5738" operator="equal">
      <formula>"未完成"</formula>
    </cfRule>
    <cfRule type="cellIs" dxfId="0" priority="5748" operator="equal">
      <formula>"未完成"</formula>
    </cfRule>
  </conditionalFormatting>
  <conditionalFormatting sqref="AS53:AT53">
    <cfRule type="cellIs" dxfId="1" priority="5818" operator="equal">
      <formula>"未完成"</formula>
    </cfRule>
    <cfRule type="cellIs" dxfId="0" priority="5828" operator="equal">
      <formula>"未完成"</formula>
    </cfRule>
  </conditionalFormatting>
  <conditionalFormatting sqref="R54">
    <cfRule type="cellIs" dxfId="0" priority="5727" operator="equal">
      <formula>"欠"</formula>
    </cfRule>
  </conditionalFormatting>
  <conditionalFormatting sqref="T54">
    <cfRule type="cellIs" dxfId="0" priority="5717" operator="equal">
      <formula>"欠"</formula>
    </cfRule>
  </conditionalFormatting>
  <conditionalFormatting sqref="AC54">
    <cfRule type="cellIs" dxfId="0" priority="5837" operator="equal">
      <formula>"未完成"</formula>
    </cfRule>
  </conditionalFormatting>
  <conditionalFormatting sqref="AH54">
    <cfRule type="cellIs" dxfId="1" priority="5847" operator="equal">
      <formula>"未完成"</formula>
    </cfRule>
    <cfRule type="cellIs" dxfId="0" priority="5857" operator="equal">
      <formula>"未完成"</formula>
    </cfRule>
  </conditionalFormatting>
  <conditionalFormatting sqref="AI54">
    <cfRule type="cellIs" dxfId="1" priority="5907" operator="equal">
      <formula>"未完成"</formula>
    </cfRule>
    <cfRule type="cellIs" dxfId="0" priority="5917" operator="equal">
      <formula>"未完成"</formula>
    </cfRule>
  </conditionalFormatting>
  <conditionalFormatting sqref="AJ54">
    <cfRule type="cellIs" dxfId="1" priority="5757" operator="equal">
      <formula>"未完成"</formula>
    </cfRule>
    <cfRule type="cellIs" dxfId="0" priority="5767" operator="equal">
      <formula>"未完成"</formula>
    </cfRule>
  </conditionalFormatting>
  <conditionalFormatting sqref="AK54">
    <cfRule type="cellIs" dxfId="1" priority="5867" operator="equal">
      <formula>"未完成"</formula>
    </cfRule>
    <cfRule type="cellIs" dxfId="0" priority="5877" operator="equal">
      <formula>"未完成"</formula>
    </cfRule>
  </conditionalFormatting>
  <conditionalFormatting sqref="AN54">
    <cfRule type="cellIs" dxfId="1" priority="5777" operator="equal">
      <formula>"未完成"</formula>
    </cfRule>
    <cfRule type="cellIs" dxfId="0" priority="5787" operator="equal">
      <formula>"未完成"</formula>
    </cfRule>
  </conditionalFormatting>
  <conditionalFormatting sqref="AO54">
    <cfRule type="cellIs" dxfId="1" priority="5797" operator="equal">
      <formula>"未完成"</formula>
    </cfRule>
    <cfRule type="cellIs" dxfId="0" priority="5807" operator="equal">
      <formula>"未完成"</formula>
    </cfRule>
  </conditionalFormatting>
  <conditionalFormatting sqref="AQ54">
    <cfRule type="cellIs" dxfId="1" priority="5887" operator="equal">
      <formula>"未完成"</formula>
    </cfRule>
    <cfRule type="cellIs" dxfId="0" priority="5897" operator="equal">
      <formula>"未完成"</formula>
    </cfRule>
  </conditionalFormatting>
  <conditionalFormatting sqref="AR54">
    <cfRule type="cellIs" dxfId="1" priority="5737" operator="equal">
      <formula>"未完成"</formula>
    </cfRule>
    <cfRule type="cellIs" dxfId="0" priority="5747" operator="equal">
      <formula>"未完成"</formula>
    </cfRule>
  </conditionalFormatting>
  <conditionalFormatting sqref="AS54:AT54">
    <cfRule type="cellIs" dxfId="1" priority="5817" operator="equal">
      <formula>"未完成"</formula>
    </cfRule>
    <cfRule type="cellIs" dxfId="0" priority="5827" operator="equal">
      <formula>"未完成"</formula>
    </cfRule>
  </conditionalFormatting>
  <conditionalFormatting sqref="R55">
    <cfRule type="cellIs" dxfId="0" priority="5726" operator="equal">
      <formula>"欠"</formula>
    </cfRule>
  </conditionalFormatting>
  <conditionalFormatting sqref="T55">
    <cfRule type="cellIs" dxfId="0" priority="5716" operator="equal">
      <formula>"欠"</formula>
    </cfRule>
  </conditionalFormatting>
  <conditionalFormatting sqref="AC55">
    <cfRule type="cellIs" dxfId="0" priority="5836" operator="equal">
      <formula>"未完成"</formula>
    </cfRule>
  </conditionalFormatting>
  <conditionalFormatting sqref="AH55">
    <cfRule type="cellIs" dxfId="1" priority="5846" operator="equal">
      <formula>"未完成"</formula>
    </cfRule>
    <cfRule type="cellIs" dxfId="0" priority="5856" operator="equal">
      <formula>"未完成"</formula>
    </cfRule>
  </conditionalFormatting>
  <conditionalFormatting sqref="AI55">
    <cfRule type="cellIs" dxfId="1" priority="5906" operator="equal">
      <formula>"未完成"</formula>
    </cfRule>
    <cfRule type="cellIs" dxfId="0" priority="5916" operator="equal">
      <formula>"未完成"</formula>
    </cfRule>
  </conditionalFormatting>
  <conditionalFormatting sqref="AJ55">
    <cfRule type="cellIs" dxfId="1" priority="5756" operator="equal">
      <formula>"未完成"</formula>
    </cfRule>
    <cfRule type="cellIs" dxfId="0" priority="5766" operator="equal">
      <formula>"未完成"</formula>
    </cfRule>
  </conditionalFormatting>
  <conditionalFormatting sqref="AK55">
    <cfRule type="cellIs" dxfId="1" priority="5866" operator="equal">
      <formula>"未完成"</formula>
    </cfRule>
    <cfRule type="cellIs" dxfId="0" priority="5876" operator="equal">
      <formula>"未完成"</formula>
    </cfRule>
  </conditionalFormatting>
  <conditionalFormatting sqref="AN55">
    <cfRule type="cellIs" dxfId="1" priority="5776" operator="equal">
      <formula>"未完成"</formula>
    </cfRule>
    <cfRule type="cellIs" dxfId="0" priority="5786" operator="equal">
      <formula>"未完成"</formula>
    </cfRule>
  </conditionalFormatting>
  <conditionalFormatting sqref="AO55">
    <cfRule type="cellIs" dxfId="1" priority="5796" operator="equal">
      <formula>"未完成"</formula>
    </cfRule>
    <cfRule type="cellIs" dxfId="0" priority="5806" operator="equal">
      <formula>"未完成"</formula>
    </cfRule>
  </conditionalFormatting>
  <conditionalFormatting sqref="AQ55">
    <cfRule type="cellIs" dxfId="1" priority="5886" operator="equal">
      <formula>"未完成"</formula>
    </cfRule>
    <cfRule type="cellIs" dxfId="0" priority="5896" operator="equal">
      <formula>"未完成"</formula>
    </cfRule>
  </conditionalFormatting>
  <conditionalFormatting sqref="AR55">
    <cfRule type="cellIs" dxfId="1" priority="5736" operator="equal">
      <formula>"未完成"</formula>
    </cfRule>
    <cfRule type="cellIs" dxfId="0" priority="5746" operator="equal">
      <formula>"未完成"</formula>
    </cfRule>
  </conditionalFormatting>
  <conditionalFormatting sqref="AS55:AT55">
    <cfRule type="cellIs" dxfId="1" priority="5816" operator="equal">
      <formula>"未完成"</formula>
    </cfRule>
    <cfRule type="cellIs" dxfId="0" priority="5826" operator="equal">
      <formula>"未完成"</formula>
    </cfRule>
  </conditionalFormatting>
  <conditionalFormatting sqref="R56">
    <cfRule type="cellIs" dxfId="0" priority="5725" operator="equal">
      <formula>"欠"</formula>
    </cfRule>
  </conditionalFormatting>
  <conditionalFormatting sqref="T56">
    <cfRule type="cellIs" dxfId="0" priority="5715" operator="equal">
      <formula>"欠"</formula>
    </cfRule>
  </conditionalFormatting>
  <conditionalFormatting sqref="AC56">
    <cfRule type="cellIs" dxfId="0" priority="5835" operator="equal">
      <formula>"未完成"</formula>
    </cfRule>
  </conditionalFormatting>
  <conditionalFormatting sqref="AH56">
    <cfRule type="cellIs" dxfId="1" priority="5845" operator="equal">
      <formula>"未完成"</formula>
    </cfRule>
    <cfRule type="cellIs" dxfId="0" priority="5855" operator="equal">
      <formula>"未完成"</formula>
    </cfRule>
  </conditionalFormatting>
  <conditionalFormatting sqref="AI56">
    <cfRule type="cellIs" dxfId="1" priority="5905" operator="equal">
      <formula>"未完成"</formula>
    </cfRule>
    <cfRule type="cellIs" dxfId="0" priority="5915" operator="equal">
      <formula>"未完成"</formula>
    </cfRule>
  </conditionalFormatting>
  <conditionalFormatting sqref="AJ56">
    <cfRule type="cellIs" dxfId="1" priority="5755" operator="equal">
      <formula>"未完成"</formula>
    </cfRule>
    <cfRule type="cellIs" dxfId="0" priority="5765" operator="equal">
      <formula>"未完成"</formula>
    </cfRule>
  </conditionalFormatting>
  <conditionalFormatting sqref="AK56">
    <cfRule type="cellIs" dxfId="1" priority="5865" operator="equal">
      <formula>"未完成"</formula>
    </cfRule>
    <cfRule type="cellIs" dxfId="0" priority="5875" operator="equal">
      <formula>"未完成"</formula>
    </cfRule>
  </conditionalFormatting>
  <conditionalFormatting sqref="AN56">
    <cfRule type="cellIs" dxfId="1" priority="5775" operator="equal">
      <formula>"未完成"</formula>
    </cfRule>
    <cfRule type="cellIs" dxfId="0" priority="5785" operator="equal">
      <formula>"未完成"</formula>
    </cfRule>
  </conditionalFormatting>
  <conditionalFormatting sqref="AO56">
    <cfRule type="cellIs" dxfId="1" priority="5795" operator="equal">
      <formula>"未完成"</formula>
    </cfRule>
    <cfRule type="cellIs" dxfId="0" priority="5805" operator="equal">
      <formula>"未完成"</formula>
    </cfRule>
  </conditionalFormatting>
  <conditionalFormatting sqref="AQ56">
    <cfRule type="cellIs" dxfId="1" priority="5885" operator="equal">
      <formula>"未完成"</formula>
    </cfRule>
    <cfRule type="cellIs" dxfId="0" priority="5895" operator="equal">
      <formula>"未完成"</formula>
    </cfRule>
  </conditionalFormatting>
  <conditionalFormatting sqref="AR56">
    <cfRule type="cellIs" dxfId="1" priority="5735" operator="equal">
      <formula>"未完成"</formula>
    </cfRule>
    <cfRule type="cellIs" dxfId="0" priority="5745" operator="equal">
      <formula>"未完成"</formula>
    </cfRule>
  </conditionalFormatting>
  <conditionalFormatting sqref="AS56:AT56">
    <cfRule type="cellIs" dxfId="1" priority="5815" operator="equal">
      <formula>"未完成"</formula>
    </cfRule>
    <cfRule type="cellIs" dxfId="0" priority="5825" operator="equal">
      <formula>"未完成"</formula>
    </cfRule>
  </conditionalFormatting>
  <conditionalFormatting sqref="R57">
    <cfRule type="cellIs" dxfId="0" priority="5685" operator="equal">
      <formula>"欠"</formula>
    </cfRule>
  </conditionalFormatting>
  <conditionalFormatting sqref="T57">
    <cfRule type="cellIs" dxfId="0" priority="5684" operator="equal">
      <formula>"欠"</formula>
    </cfRule>
  </conditionalFormatting>
  <conditionalFormatting sqref="AC57">
    <cfRule type="cellIs" dxfId="0" priority="5696" operator="equal">
      <formula>"未完成"</formula>
    </cfRule>
  </conditionalFormatting>
  <conditionalFormatting sqref="AH57">
    <cfRule type="cellIs" dxfId="0" priority="5698" operator="equal">
      <formula>"未完成"</formula>
    </cfRule>
    <cfRule type="cellIs" dxfId="1" priority="5697" operator="equal">
      <formula>"未完成"</formula>
    </cfRule>
  </conditionalFormatting>
  <conditionalFormatting sqref="AI57">
    <cfRule type="cellIs" dxfId="0" priority="5704" operator="equal">
      <formula>"未完成"</formula>
    </cfRule>
    <cfRule type="cellIs" dxfId="1" priority="5703" operator="equal">
      <formula>"未完成"</formula>
    </cfRule>
  </conditionalFormatting>
  <conditionalFormatting sqref="AJ57">
    <cfRule type="cellIs" dxfId="0" priority="5689" operator="equal">
      <formula>"未完成"</formula>
    </cfRule>
    <cfRule type="cellIs" dxfId="1" priority="5688" operator="equal">
      <formula>"未完成"</formula>
    </cfRule>
  </conditionalFormatting>
  <conditionalFormatting sqref="AK57">
    <cfRule type="cellIs" dxfId="0" priority="5700" operator="equal">
      <formula>"未完成"</formula>
    </cfRule>
    <cfRule type="cellIs" dxfId="1" priority="5699" operator="equal">
      <formula>"未完成"</formula>
    </cfRule>
  </conditionalFormatting>
  <conditionalFormatting sqref="AN57">
    <cfRule type="cellIs" dxfId="1" priority="5690" operator="equal">
      <formula>"未完成"</formula>
    </cfRule>
    <cfRule type="cellIs" dxfId="0" priority="5691" operator="equal">
      <formula>"未完成"</formula>
    </cfRule>
  </conditionalFormatting>
  <conditionalFormatting sqref="AO57">
    <cfRule type="cellIs" dxfId="1" priority="5692" operator="equal">
      <formula>"未完成"</formula>
    </cfRule>
    <cfRule type="cellIs" dxfId="0" priority="5693" operator="equal">
      <formula>"未完成"</formula>
    </cfRule>
  </conditionalFormatting>
  <conditionalFormatting sqref="AQ57">
    <cfRule type="cellIs" dxfId="1" priority="5701" operator="equal">
      <formula>"未完成"</formula>
    </cfRule>
    <cfRule type="cellIs" dxfId="0" priority="5702" operator="equal">
      <formula>"未完成"</formula>
    </cfRule>
  </conditionalFormatting>
  <conditionalFormatting sqref="AR57">
    <cfRule type="cellIs" dxfId="1" priority="5686" operator="equal">
      <formula>"未完成"</formula>
    </cfRule>
    <cfRule type="cellIs" dxfId="0" priority="5687" operator="equal">
      <formula>"未完成"</formula>
    </cfRule>
  </conditionalFormatting>
  <conditionalFormatting sqref="AS57:AT57">
    <cfRule type="cellIs" dxfId="1" priority="5694" operator="equal">
      <formula>"未完成"</formula>
    </cfRule>
    <cfRule type="cellIs" dxfId="0" priority="5695" operator="equal">
      <formula>"未完成"</formula>
    </cfRule>
  </conditionalFormatting>
  <conditionalFormatting sqref="R58">
    <cfRule type="cellIs" dxfId="0" priority="5645" operator="equal">
      <formula>"欠"</formula>
    </cfRule>
  </conditionalFormatting>
  <conditionalFormatting sqref="T58">
    <cfRule type="cellIs" dxfId="0" priority="5643" operator="equal">
      <formula>"欠"</formula>
    </cfRule>
  </conditionalFormatting>
  <conditionalFormatting sqref="AC58">
    <cfRule type="cellIs" dxfId="0" priority="5667" operator="equal">
      <formula>"未完成"</formula>
    </cfRule>
  </conditionalFormatting>
  <conditionalFormatting sqref="AH58">
    <cfRule type="cellIs" dxfId="0" priority="5671" operator="equal">
      <formula>"未完成"</formula>
    </cfRule>
    <cfRule type="cellIs" dxfId="1" priority="5669" operator="equal">
      <formula>"未完成"</formula>
    </cfRule>
  </conditionalFormatting>
  <conditionalFormatting sqref="AI58">
    <cfRule type="cellIs" dxfId="0" priority="5683" operator="equal">
      <formula>"未完成"</formula>
    </cfRule>
    <cfRule type="cellIs" dxfId="1" priority="5681" operator="equal">
      <formula>"未完成"</formula>
    </cfRule>
  </conditionalFormatting>
  <conditionalFormatting sqref="AJ58">
    <cfRule type="cellIs" dxfId="0" priority="5653" operator="equal">
      <formula>"未完成"</formula>
    </cfRule>
    <cfRule type="cellIs" dxfId="1" priority="5651" operator="equal">
      <formula>"未完成"</formula>
    </cfRule>
  </conditionalFormatting>
  <conditionalFormatting sqref="AK58">
    <cfRule type="cellIs" dxfId="0" priority="5675" operator="equal">
      <formula>"未完成"</formula>
    </cfRule>
    <cfRule type="cellIs" dxfId="1" priority="5673" operator="equal">
      <formula>"未完成"</formula>
    </cfRule>
  </conditionalFormatting>
  <conditionalFormatting sqref="AN58">
    <cfRule type="cellIs" dxfId="1" priority="5655" operator="equal">
      <formula>"未完成"</formula>
    </cfRule>
    <cfRule type="cellIs" dxfId="0" priority="5657" operator="equal">
      <formula>"未完成"</formula>
    </cfRule>
  </conditionalFormatting>
  <conditionalFormatting sqref="AO58">
    <cfRule type="cellIs" dxfId="1" priority="5659" operator="equal">
      <formula>"未完成"</formula>
    </cfRule>
    <cfRule type="cellIs" dxfId="0" priority="5661" operator="equal">
      <formula>"未完成"</formula>
    </cfRule>
  </conditionalFormatting>
  <conditionalFormatting sqref="AQ58">
    <cfRule type="cellIs" dxfId="1" priority="5677" operator="equal">
      <formula>"未完成"</formula>
    </cfRule>
    <cfRule type="cellIs" dxfId="0" priority="5679" operator="equal">
      <formula>"未完成"</formula>
    </cfRule>
  </conditionalFormatting>
  <conditionalFormatting sqref="AR58">
    <cfRule type="cellIs" dxfId="1" priority="5647" operator="equal">
      <formula>"未完成"</formula>
    </cfRule>
    <cfRule type="cellIs" dxfId="0" priority="5649" operator="equal">
      <formula>"未完成"</formula>
    </cfRule>
  </conditionalFormatting>
  <conditionalFormatting sqref="AS58:AT58">
    <cfRule type="cellIs" dxfId="1" priority="5663" operator="equal">
      <formula>"未完成"</formula>
    </cfRule>
    <cfRule type="cellIs" dxfId="0" priority="5665" operator="equal">
      <formula>"未完成"</formula>
    </cfRule>
  </conditionalFormatting>
  <conditionalFormatting sqref="R59">
    <cfRule type="cellIs" dxfId="0" priority="5644" operator="equal">
      <formula>"欠"</formula>
    </cfRule>
  </conditionalFormatting>
  <conditionalFormatting sqref="T59">
    <cfRule type="cellIs" dxfId="0" priority="5642" operator="equal">
      <formula>"欠"</formula>
    </cfRule>
  </conditionalFormatting>
  <conditionalFormatting sqref="AC59">
    <cfRule type="cellIs" dxfId="0" priority="5666" operator="equal">
      <formula>"未完成"</formula>
    </cfRule>
  </conditionalFormatting>
  <conditionalFormatting sqref="AH59">
    <cfRule type="cellIs" dxfId="0" priority="5670" operator="equal">
      <formula>"未完成"</formula>
    </cfRule>
    <cfRule type="cellIs" dxfId="1" priority="5668" operator="equal">
      <formula>"未完成"</formula>
    </cfRule>
  </conditionalFormatting>
  <conditionalFormatting sqref="AI59">
    <cfRule type="cellIs" dxfId="1" priority="5680" operator="equal">
      <formula>"未完成"</formula>
    </cfRule>
    <cfRule type="cellIs" dxfId="0" priority="5682" operator="equal">
      <formula>"未完成"</formula>
    </cfRule>
  </conditionalFormatting>
  <conditionalFormatting sqref="AJ59">
    <cfRule type="cellIs" dxfId="0" priority="5652" operator="equal">
      <formula>"未完成"</formula>
    </cfRule>
    <cfRule type="cellIs" dxfId="1" priority="5650" operator="equal">
      <formula>"未完成"</formula>
    </cfRule>
  </conditionalFormatting>
  <conditionalFormatting sqref="AK59">
    <cfRule type="cellIs" dxfId="0" priority="5674" operator="equal">
      <formula>"未完成"</formula>
    </cfRule>
    <cfRule type="cellIs" dxfId="1" priority="5672" operator="equal">
      <formula>"未完成"</formula>
    </cfRule>
  </conditionalFormatting>
  <conditionalFormatting sqref="AN59">
    <cfRule type="cellIs" dxfId="1" priority="5654" operator="equal">
      <formula>"未完成"</formula>
    </cfRule>
    <cfRule type="cellIs" dxfId="0" priority="5656" operator="equal">
      <formula>"未完成"</formula>
    </cfRule>
  </conditionalFormatting>
  <conditionalFormatting sqref="AO59">
    <cfRule type="cellIs" dxfId="1" priority="5658" operator="equal">
      <formula>"未完成"</formula>
    </cfRule>
    <cfRule type="cellIs" dxfId="0" priority="5660" operator="equal">
      <formula>"未完成"</formula>
    </cfRule>
  </conditionalFormatting>
  <conditionalFormatting sqref="AQ59">
    <cfRule type="cellIs" dxfId="1" priority="5676" operator="equal">
      <formula>"未完成"</formula>
    </cfRule>
    <cfRule type="cellIs" dxfId="0" priority="5678" operator="equal">
      <formula>"未完成"</formula>
    </cfRule>
  </conditionalFormatting>
  <conditionalFormatting sqref="AR59">
    <cfRule type="cellIs" dxfId="1" priority="5646" operator="equal">
      <formula>"未完成"</formula>
    </cfRule>
    <cfRule type="cellIs" dxfId="0" priority="5648" operator="equal">
      <formula>"未完成"</formula>
    </cfRule>
  </conditionalFormatting>
  <conditionalFormatting sqref="AS59:AT59">
    <cfRule type="cellIs" dxfId="1" priority="5662" operator="equal">
      <formula>"未完成"</formula>
    </cfRule>
    <cfRule type="cellIs" dxfId="0" priority="5664" operator="equal">
      <formula>"未完成"</formula>
    </cfRule>
  </conditionalFormatting>
  <conditionalFormatting sqref="R60">
    <cfRule type="cellIs" dxfId="0" priority="11242" operator="equal">
      <formula>"欠"</formula>
    </cfRule>
  </conditionalFormatting>
  <conditionalFormatting sqref="AJ60">
    <cfRule type="cellIs" dxfId="1" priority="7855" operator="equal">
      <formula>"未完成"</formula>
    </cfRule>
    <cfRule type="cellIs" dxfId="0" priority="7856" operator="equal">
      <formula>"未完成"</formula>
    </cfRule>
  </conditionalFormatting>
  <conditionalFormatting sqref="AK60">
    <cfRule type="cellIs" dxfId="1" priority="13737" operator="equal">
      <formula>"未完成"</formula>
    </cfRule>
    <cfRule type="cellIs" dxfId="0" priority="13738" operator="equal">
      <formula>"未完成"</formula>
    </cfRule>
  </conditionalFormatting>
  <conditionalFormatting sqref="AN60">
    <cfRule type="cellIs" dxfId="1" priority="7804" operator="equal">
      <formula>"未完成"</formula>
    </cfRule>
    <cfRule type="cellIs" dxfId="0" priority="7805" operator="equal">
      <formula>"未完成"</formula>
    </cfRule>
  </conditionalFormatting>
  <conditionalFormatting sqref="R61">
    <cfRule type="cellIs" dxfId="0" priority="7999" operator="equal">
      <formula>"欠"</formula>
    </cfRule>
  </conditionalFormatting>
  <conditionalFormatting sqref="AI61">
    <cfRule type="cellIs" dxfId="1" priority="8005" operator="equal">
      <formula>"未完成"</formula>
    </cfRule>
    <cfRule type="cellIs" dxfId="0" priority="8007" operator="equal">
      <formula>"未完成"</formula>
    </cfRule>
  </conditionalFormatting>
  <conditionalFormatting sqref="AK61">
    <cfRule type="cellIs" dxfId="1" priority="7949" operator="equal">
      <formula>"未完成"</formula>
    </cfRule>
    <cfRule type="cellIs" dxfId="0" priority="7950" operator="equal">
      <formula>"未完成"</formula>
    </cfRule>
  </conditionalFormatting>
  <conditionalFormatting sqref="AN61">
    <cfRule type="cellIs" dxfId="1" priority="7626" operator="equal">
      <formula>"未完成"</formula>
    </cfRule>
    <cfRule type="cellIs" dxfId="0" priority="7627" operator="equal">
      <formula>"未完成"</formula>
    </cfRule>
  </conditionalFormatting>
  <conditionalFormatting sqref="AQ61">
    <cfRule type="cellIs" dxfId="1" priority="7981" operator="equal">
      <formula>"未完成"</formula>
    </cfRule>
    <cfRule type="cellIs" dxfId="0" priority="7983" operator="equal">
      <formula>"未完成"</formula>
    </cfRule>
  </conditionalFormatting>
  <conditionalFormatting sqref="R62">
    <cfRule type="cellIs" dxfId="0" priority="5511" operator="equal">
      <formula>"欠"</formula>
    </cfRule>
  </conditionalFormatting>
  <conditionalFormatting sqref="T62">
    <cfRule type="cellIs" dxfId="0" priority="5441" operator="equal">
      <formula>"欠"</formula>
    </cfRule>
  </conditionalFormatting>
  <conditionalFormatting sqref="AC62">
    <cfRule type="cellIs" dxfId="0" priority="5621" operator="equal">
      <formula>"未完成"</formula>
    </cfRule>
  </conditionalFormatting>
  <conditionalFormatting sqref="AG62:AH62">
    <cfRule type="cellIs" dxfId="0" priority="5641" operator="equal">
      <formula>"未完成"</formula>
    </cfRule>
    <cfRule type="cellIs" dxfId="1" priority="5631" operator="equal">
      <formula>"未完成"</formula>
    </cfRule>
  </conditionalFormatting>
  <conditionalFormatting sqref="AI62">
    <cfRule type="cellIs" dxfId="0" priority="5531" operator="equal">
      <formula>"未完成"</formula>
    </cfRule>
    <cfRule type="cellIs" dxfId="1" priority="5521" operator="equal">
      <formula>"未完成"</formula>
    </cfRule>
  </conditionalFormatting>
  <conditionalFormatting sqref="AJ62">
    <cfRule type="cellIs" dxfId="0" priority="5571" operator="equal">
      <formula>"未完成"</formula>
    </cfRule>
    <cfRule type="cellIs" dxfId="1" priority="5561" operator="equal">
      <formula>"未完成"</formula>
    </cfRule>
  </conditionalFormatting>
  <conditionalFormatting sqref="AK62">
    <cfRule type="cellIs" dxfId="0" priority="5481" operator="equal">
      <formula>"未完成"</formula>
    </cfRule>
    <cfRule type="cellIs" dxfId="1" priority="5471" operator="equal">
      <formula>"未完成"</formula>
    </cfRule>
  </conditionalFormatting>
  <conditionalFormatting sqref="AN62">
    <cfRule type="cellIs" dxfId="1" priority="5451" operator="equal">
      <formula>"未完成"</formula>
    </cfRule>
    <cfRule type="cellIs" dxfId="0" priority="5461" operator="equal">
      <formula>"未完成"</formula>
    </cfRule>
  </conditionalFormatting>
  <conditionalFormatting sqref="AO62">
    <cfRule type="cellIs" dxfId="1" priority="5581" operator="equal">
      <formula>"未完成"</formula>
    </cfRule>
    <cfRule type="cellIs" dxfId="0" priority="5591" operator="equal">
      <formula>"未完成"</formula>
    </cfRule>
  </conditionalFormatting>
  <conditionalFormatting sqref="AQ62">
    <cfRule type="cellIs" dxfId="1" priority="5491" operator="equal">
      <formula>"未完成"</formula>
    </cfRule>
    <cfRule type="cellIs" dxfId="0" priority="5501" operator="equal">
      <formula>"未完成"</formula>
    </cfRule>
  </conditionalFormatting>
  <conditionalFormatting sqref="AR62">
    <cfRule type="cellIs" dxfId="1" priority="5541" operator="equal">
      <formula>"未完成"</formula>
    </cfRule>
    <cfRule type="cellIs" dxfId="0" priority="5551" operator="equal">
      <formula>"未完成"</formula>
    </cfRule>
  </conditionalFormatting>
  <conditionalFormatting sqref="AS62:AT62">
    <cfRule type="cellIs" dxfId="1" priority="5601" operator="equal">
      <formula>"未完成"</formula>
    </cfRule>
    <cfRule type="cellIs" dxfId="0" priority="5611" operator="equal">
      <formula>"未完成"</formula>
    </cfRule>
  </conditionalFormatting>
  <conditionalFormatting sqref="R63">
    <cfRule type="cellIs" dxfId="0" priority="5510" operator="equal">
      <formula>"欠"</formula>
    </cfRule>
  </conditionalFormatting>
  <conditionalFormatting sqref="T63">
    <cfRule type="cellIs" dxfId="0" priority="5440" operator="equal">
      <formula>"欠"</formula>
    </cfRule>
  </conditionalFormatting>
  <conditionalFormatting sqref="AC63">
    <cfRule type="cellIs" dxfId="0" priority="5620" operator="equal">
      <formula>"未完成"</formula>
    </cfRule>
  </conditionalFormatting>
  <conditionalFormatting sqref="AG63:AH63">
    <cfRule type="cellIs" dxfId="0" priority="5640" operator="equal">
      <formula>"未完成"</formula>
    </cfRule>
    <cfRule type="cellIs" dxfId="1" priority="5630" operator="equal">
      <formula>"未完成"</formula>
    </cfRule>
  </conditionalFormatting>
  <conditionalFormatting sqref="AI63">
    <cfRule type="cellIs" dxfId="0" priority="5530" operator="equal">
      <formula>"未完成"</formula>
    </cfRule>
    <cfRule type="cellIs" dxfId="1" priority="5520" operator="equal">
      <formula>"未完成"</formula>
    </cfRule>
  </conditionalFormatting>
  <conditionalFormatting sqref="AJ63">
    <cfRule type="cellIs" dxfId="0" priority="5570" operator="equal">
      <formula>"未完成"</formula>
    </cfRule>
    <cfRule type="cellIs" dxfId="1" priority="5560" operator="equal">
      <formula>"未完成"</formula>
    </cfRule>
  </conditionalFormatting>
  <conditionalFormatting sqref="AK63">
    <cfRule type="cellIs" dxfId="0" priority="5480" operator="equal">
      <formula>"未完成"</formula>
    </cfRule>
    <cfRule type="cellIs" dxfId="1" priority="5470" operator="equal">
      <formula>"未完成"</formula>
    </cfRule>
  </conditionalFormatting>
  <conditionalFormatting sqref="AN63">
    <cfRule type="cellIs" dxfId="1" priority="5450" operator="equal">
      <formula>"未完成"</formula>
    </cfRule>
    <cfRule type="cellIs" dxfId="0" priority="5460" operator="equal">
      <formula>"未完成"</formula>
    </cfRule>
  </conditionalFormatting>
  <conditionalFormatting sqref="AO63">
    <cfRule type="cellIs" dxfId="1" priority="5580" operator="equal">
      <formula>"未完成"</formula>
    </cfRule>
    <cfRule type="cellIs" dxfId="0" priority="5590" operator="equal">
      <formula>"未完成"</formula>
    </cfRule>
  </conditionalFormatting>
  <conditionalFormatting sqref="AQ63">
    <cfRule type="cellIs" dxfId="1" priority="5490" operator="equal">
      <formula>"未完成"</formula>
    </cfRule>
    <cfRule type="cellIs" dxfId="0" priority="5500" operator="equal">
      <formula>"未完成"</formula>
    </cfRule>
  </conditionalFormatting>
  <conditionalFormatting sqref="AR63">
    <cfRule type="cellIs" dxfId="1" priority="5540" operator="equal">
      <formula>"未完成"</formula>
    </cfRule>
    <cfRule type="cellIs" dxfId="0" priority="5550" operator="equal">
      <formula>"未完成"</formula>
    </cfRule>
  </conditionalFormatting>
  <conditionalFormatting sqref="AS63:AT63">
    <cfRule type="cellIs" dxfId="1" priority="5600" operator="equal">
      <formula>"未完成"</formula>
    </cfRule>
    <cfRule type="cellIs" dxfId="0" priority="5610" operator="equal">
      <formula>"未完成"</formula>
    </cfRule>
  </conditionalFormatting>
  <conditionalFormatting sqref="R64">
    <cfRule type="cellIs" dxfId="0" priority="5509" operator="equal">
      <formula>"欠"</formula>
    </cfRule>
  </conditionalFormatting>
  <conditionalFormatting sqref="T64">
    <cfRule type="cellIs" dxfId="0" priority="5439" operator="equal">
      <formula>"欠"</formula>
    </cfRule>
  </conditionalFormatting>
  <conditionalFormatting sqref="AC64">
    <cfRule type="cellIs" dxfId="0" priority="5619" operator="equal">
      <formula>"未完成"</formula>
    </cfRule>
  </conditionalFormatting>
  <conditionalFormatting sqref="AG64:AH64">
    <cfRule type="cellIs" dxfId="0" priority="5639" operator="equal">
      <formula>"未完成"</formula>
    </cfRule>
    <cfRule type="cellIs" dxfId="1" priority="5629" operator="equal">
      <formula>"未完成"</formula>
    </cfRule>
  </conditionalFormatting>
  <conditionalFormatting sqref="AI64">
    <cfRule type="cellIs" dxfId="0" priority="5529" operator="equal">
      <formula>"未完成"</formula>
    </cfRule>
    <cfRule type="cellIs" dxfId="1" priority="5519" operator="equal">
      <formula>"未完成"</formula>
    </cfRule>
  </conditionalFormatting>
  <conditionalFormatting sqref="AJ64">
    <cfRule type="cellIs" dxfId="0" priority="5569" operator="equal">
      <formula>"未完成"</formula>
    </cfRule>
    <cfRule type="cellIs" dxfId="1" priority="5559" operator="equal">
      <formula>"未完成"</formula>
    </cfRule>
  </conditionalFormatting>
  <conditionalFormatting sqref="AK64">
    <cfRule type="cellIs" dxfId="0" priority="5479" operator="equal">
      <formula>"未完成"</formula>
    </cfRule>
    <cfRule type="cellIs" dxfId="1" priority="5469" operator="equal">
      <formula>"未完成"</formula>
    </cfRule>
  </conditionalFormatting>
  <conditionalFormatting sqref="AN64">
    <cfRule type="cellIs" dxfId="1" priority="5449" operator="equal">
      <formula>"未完成"</formula>
    </cfRule>
    <cfRule type="cellIs" dxfId="0" priority="5459" operator="equal">
      <formula>"未完成"</formula>
    </cfRule>
  </conditionalFormatting>
  <conditionalFormatting sqref="AO64">
    <cfRule type="cellIs" dxfId="1" priority="5579" operator="equal">
      <formula>"未完成"</formula>
    </cfRule>
    <cfRule type="cellIs" dxfId="0" priority="5589" operator="equal">
      <formula>"未完成"</formula>
    </cfRule>
  </conditionalFormatting>
  <conditionalFormatting sqref="AQ64">
    <cfRule type="cellIs" dxfId="1" priority="5489" operator="equal">
      <formula>"未完成"</formula>
    </cfRule>
    <cfRule type="cellIs" dxfId="0" priority="5499" operator="equal">
      <formula>"未完成"</formula>
    </cfRule>
  </conditionalFormatting>
  <conditionalFormatting sqref="AR64">
    <cfRule type="cellIs" dxfId="1" priority="5539" operator="equal">
      <formula>"未完成"</formula>
    </cfRule>
    <cfRule type="cellIs" dxfId="0" priority="5549" operator="equal">
      <formula>"未完成"</formula>
    </cfRule>
  </conditionalFormatting>
  <conditionalFormatting sqref="AS64:AT64">
    <cfRule type="cellIs" dxfId="1" priority="5599" operator="equal">
      <formula>"未完成"</formula>
    </cfRule>
    <cfRule type="cellIs" dxfId="0" priority="5609" operator="equal">
      <formula>"未完成"</formula>
    </cfRule>
  </conditionalFormatting>
  <conditionalFormatting sqref="R65">
    <cfRule type="cellIs" dxfId="0" priority="5508" operator="equal">
      <formula>"欠"</formula>
    </cfRule>
  </conditionalFormatting>
  <conditionalFormatting sqref="T65">
    <cfRule type="cellIs" dxfId="0" priority="5438" operator="equal">
      <formula>"欠"</formula>
    </cfRule>
  </conditionalFormatting>
  <conditionalFormatting sqref="AC65">
    <cfRule type="cellIs" dxfId="0" priority="5618" operator="equal">
      <formula>"未完成"</formula>
    </cfRule>
  </conditionalFormatting>
  <conditionalFormatting sqref="AG65:AH65">
    <cfRule type="cellIs" dxfId="0" priority="5638" operator="equal">
      <formula>"未完成"</formula>
    </cfRule>
    <cfRule type="cellIs" dxfId="1" priority="5628" operator="equal">
      <formula>"未完成"</formula>
    </cfRule>
  </conditionalFormatting>
  <conditionalFormatting sqref="AI65">
    <cfRule type="cellIs" dxfId="0" priority="5528" operator="equal">
      <formula>"未完成"</formula>
    </cfRule>
    <cfRule type="cellIs" dxfId="1" priority="5518" operator="equal">
      <formula>"未完成"</formula>
    </cfRule>
  </conditionalFormatting>
  <conditionalFormatting sqref="AJ65">
    <cfRule type="cellIs" dxfId="0" priority="5568" operator="equal">
      <formula>"未完成"</formula>
    </cfRule>
    <cfRule type="cellIs" dxfId="1" priority="5558" operator="equal">
      <formula>"未完成"</formula>
    </cfRule>
  </conditionalFormatting>
  <conditionalFormatting sqref="AK65">
    <cfRule type="cellIs" dxfId="0" priority="5478" operator="equal">
      <formula>"未完成"</formula>
    </cfRule>
    <cfRule type="cellIs" dxfId="1" priority="5468" operator="equal">
      <formula>"未完成"</formula>
    </cfRule>
  </conditionalFormatting>
  <conditionalFormatting sqref="AN65">
    <cfRule type="cellIs" dxfId="1" priority="5448" operator="equal">
      <formula>"未完成"</formula>
    </cfRule>
    <cfRule type="cellIs" dxfId="0" priority="5458" operator="equal">
      <formula>"未完成"</formula>
    </cfRule>
  </conditionalFormatting>
  <conditionalFormatting sqref="AO65">
    <cfRule type="cellIs" dxfId="1" priority="5578" operator="equal">
      <formula>"未完成"</formula>
    </cfRule>
    <cfRule type="cellIs" dxfId="0" priority="5588" operator="equal">
      <formula>"未完成"</formula>
    </cfRule>
  </conditionalFormatting>
  <conditionalFormatting sqref="AQ65">
    <cfRule type="cellIs" dxfId="1" priority="5488" operator="equal">
      <formula>"未完成"</formula>
    </cfRule>
    <cfRule type="cellIs" dxfId="0" priority="5498" operator="equal">
      <formula>"未完成"</formula>
    </cfRule>
  </conditionalFormatting>
  <conditionalFormatting sqref="AR65">
    <cfRule type="cellIs" dxfId="1" priority="5538" operator="equal">
      <formula>"未完成"</formula>
    </cfRule>
    <cfRule type="cellIs" dxfId="0" priority="5548" operator="equal">
      <formula>"未完成"</formula>
    </cfRule>
  </conditionalFormatting>
  <conditionalFormatting sqref="AS65:AT65">
    <cfRule type="cellIs" dxfId="1" priority="5598" operator="equal">
      <formula>"未完成"</formula>
    </cfRule>
    <cfRule type="cellIs" dxfId="0" priority="5608" operator="equal">
      <formula>"未完成"</formula>
    </cfRule>
  </conditionalFormatting>
  <conditionalFormatting sqref="R66">
    <cfRule type="cellIs" dxfId="0" priority="5507" operator="equal">
      <formula>"欠"</formula>
    </cfRule>
  </conditionalFormatting>
  <conditionalFormatting sqref="T66">
    <cfRule type="cellIs" dxfId="0" priority="5437" operator="equal">
      <formula>"欠"</formula>
    </cfRule>
  </conditionalFormatting>
  <conditionalFormatting sqref="AC66">
    <cfRule type="cellIs" dxfId="0" priority="5617" operator="equal">
      <formula>"未完成"</formula>
    </cfRule>
  </conditionalFormatting>
  <conditionalFormatting sqref="AG66:AH66">
    <cfRule type="cellIs" dxfId="0" priority="5637" operator="equal">
      <formula>"未完成"</formula>
    </cfRule>
    <cfRule type="cellIs" dxfId="1" priority="5627" operator="equal">
      <formula>"未完成"</formula>
    </cfRule>
  </conditionalFormatting>
  <conditionalFormatting sqref="AI66">
    <cfRule type="cellIs" dxfId="0" priority="5527" operator="equal">
      <formula>"未完成"</formula>
    </cfRule>
    <cfRule type="cellIs" dxfId="1" priority="5517" operator="equal">
      <formula>"未完成"</formula>
    </cfRule>
  </conditionalFormatting>
  <conditionalFormatting sqref="AJ66">
    <cfRule type="cellIs" dxfId="0" priority="5567" operator="equal">
      <formula>"未完成"</formula>
    </cfRule>
    <cfRule type="cellIs" dxfId="1" priority="5557" operator="equal">
      <formula>"未完成"</formula>
    </cfRule>
  </conditionalFormatting>
  <conditionalFormatting sqref="AK66">
    <cfRule type="cellIs" dxfId="0" priority="5477" operator="equal">
      <formula>"未完成"</formula>
    </cfRule>
    <cfRule type="cellIs" dxfId="1" priority="5467" operator="equal">
      <formula>"未完成"</formula>
    </cfRule>
  </conditionalFormatting>
  <conditionalFormatting sqref="AN66">
    <cfRule type="cellIs" dxfId="1" priority="5447" operator="equal">
      <formula>"未完成"</formula>
    </cfRule>
    <cfRule type="cellIs" dxfId="0" priority="5457" operator="equal">
      <formula>"未完成"</formula>
    </cfRule>
  </conditionalFormatting>
  <conditionalFormatting sqref="AO66">
    <cfRule type="cellIs" dxfId="1" priority="5577" operator="equal">
      <formula>"未完成"</formula>
    </cfRule>
    <cfRule type="cellIs" dxfId="0" priority="5587" operator="equal">
      <formula>"未完成"</formula>
    </cfRule>
  </conditionalFormatting>
  <conditionalFormatting sqref="AQ66">
    <cfRule type="cellIs" dxfId="1" priority="5487" operator="equal">
      <formula>"未完成"</formula>
    </cfRule>
    <cfRule type="cellIs" dxfId="0" priority="5497" operator="equal">
      <formula>"未完成"</formula>
    </cfRule>
  </conditionalFormatting>
  <conditionalFormatting sqref="AR66">
    <cfRule type="cellIs" dxfId="1" priority="5537" operator="equal">
      <formula>"未完成"</formula>
    </cfRule>
    <cfRule type="cellIs" dxfId="0" priority="5547" operator="equal">
      <formula>"未完成"</formula>
    </cfRule>
  </conditionalFormatting>
  <conditionalFormatting sqref="AS66:AT66">
    <cfRule type="cellIs" dxfId="1" priority="5597" operator="equal">
      <formula>"未完成"</formula>
    </cfRule>
    <cfRule type="cellIs" dxfId="0" priority="5607" operator="equal">
      <formula>"未完成"</formula>
    </cfRule>
  </conditionalFormatting>
  <conditionalFormatting sqref="R67">
    <cfRule type="cellIs" dxfId="0" priority="5506" operator="equal">
      <formula>"欠"</formula>
    </cfRule>
  </conditionalFormatting>
  <conditionalFormatting sqref="T67">
    <cfRule type="cellIs" dxfId="0" priority="5436" operator="equal">
      <formula>"欠"</formula>
    </cfRule>
  </conditionalFormatting>
  <conditionalFormatting sqref="AC67">
    <cfRule type="cellIs" dxfId="0" priority="5616" operator="equal">
      <formula>"未完成"</formula>
    </cfRule>
  </conditionalFormatting>
  <conditionalFormatting sqref="AG67:AH67">
    <cfRule type="cellIs" dxfId="0" priority="5636" operator="equal">
      <formula>"未完成"</formula>
    </cfRule>
    <cfRule type="cellIs" dxfId="1" priority="5626" operator="equal">
      <formula>"未完成"</formula>
    </cfRule>
  </conditionalFormatting>
  <conditionalFormatting sqref="AI67">
    <cfRule type="cellIs" dxfId="0" priority="5526" operator="equal">
      <formula>"未完成"</formula>
    </cfRule>
    <cfRule type="cellIs" dxfId="1" priority="5516" operator="equal">
      <formula>"未完成"</formula>
    </cfRule>
  </conditionalFormatting>
  <conditionalFormatting sqref="AJ67">
    <cfRule type="cellIs" dxfId="0" priority="5566" operator="equal">
      <formula>"未完成"</formula>
    </cfRule>
    <cfRule type="cellIs" dxfId="1" priority="5556" operator="equal">
      <formula>"未完成"</formula>
    </cfRule>
  </conditionalFormatting>
  <conditionalFormatting sqref="AK67">
    <cfRule type="cellIs" dxfId="0" priority="5476" operator="equal">
      <formula>"未完成"</formula>
    </cfRule>
    <cfRule type="cellIs" dxfId="1" priority="5466" operator="equal">
      <formula>"未完成"</formula>
    </cfRule>
  </conditionalFormatting>
  <conditionalFormatting sqref="AN67">
    <cfRule type="cellIs" dxfId="1" priority="5446" operator="equal">
      <formula>"未完成"</formula>
    </cfRule>
    <cfRule type="cellIs" dxfId="0" priority="5456" operator="equal">
      <formula>"未完成"</formula>
    </cfRule>
  </conditionalFormatting>
  <conditionalFormatting sqref="AO67">
    <cfRule type="cellIs" dxfId="1" priority="5576" operator="equal">
      <formula>"未完成"</formula>
    </cfRule>
    <cfRule type="cellIs" dxfId="0" priority="5586" operator="equal">
      <formula>"未完成"</formula>
    </cfRule>
  </conditionalFormatting>
  <conditionalFormatting sqref="AQ67">
    <cfRule type="cellIs" dxfId="1" priority="5486" operator="equal">
      <formula>"未完成"</formula>
    </cfRule>
    <cfRule type="cellIs" dxfId="0" priority="5496" operator="equal">
      <formula>"未完成"</formula>
    </cfRule>
  </conditionalFormatting>
  <conditionalFormatting sqref="AR67">
    <cfRule type="cellIs" dxfId="1" priority="5536" operator="equal">
      <formula>"未完成"</formula>
    </cfRule>
    <cfRule type="cellIs" dxfId="0" priority="5546" operator="equal">
      <formula>"未完成"</formula>
    </cfRule>
  </conditionalFormatting>
  <conditionalFormatting sqref="AS67:AT67">
    <cfRule type="cellIs" dxfId="1" priority="5596" operator="equal">
      <formula>"未完成"</formula>
    </cfRule>
    <cfRule type="cellIs" dxfId="0" priority="5606" operator="equal">
      <formula>"未完成"</formula>
    </cfRule>
  </conditionalFormatting>
  <conditionalFormatting sqref="R68">
    <cfRule type="cellIs" dxfId="0" priority="5505" operator="equal">
      <formula>"欠"</formula>
    </cfRule>
  </conditionalFormatting>
  <conditionalFormatting sqref="T68">
    <cfRule type="cellIs" dxfId="0" priority="5435" operator="equal">
      <formula>"欠"</formula>
    </cfRule>
  </conditionalFormatting>
  <conditionalFormatting sqref="AC68">
    <cfRule type="cellIs" dxfId="0" priority="5615" operator="equal">
      <formula>"未完成"</formula>
    </cfRule>
  </conditionalFormatting>
  <conditionalFormatting sqref="AG68:AH68">
    <cfRule type="cellIs" dxfId="0" priority="5635" operator="equal">
      <formula>"未完成"</formula>
    </cfRule>
    <cfRule type="cellIs" dxfId="1" priority="5625" operator="equal">
      <formula>"未完成"</formula>
    </cfRule>
  </conditionalFormatting>
  <conditionalFormatting sqref="AI68">
    <cfRule type="cellIs" dxfId="0" priority="5525" operator="equal">
      <formula>"未完成"</formula>
    </cfRule>
    <cfRule type="cellIs" dxfId="1" priority="5515" operator="equal">
      <formula>"未完成"</formula>
    </cfRule>
  </conditionalFormatting>
  <conditionalFormatting sqref="AJ68">
    <cfRule type="cellIs" dxfId="0" priority="5565" operator="equal">
      <formula>"未完成"</formula>
    </cfRule>
    <cfRule type="cellIs" dxfId="1" priority="5555" operator="equal">
      <formula>"未完成"</formula>
    </cfRule>
  </conditionalFormatting>
  <conditionalFormatting sqref="AK68">
    <cfRule type="cellIs" dxfId="0" priority="5475" operator="equal">
      <formula>"未完成"</formula>
    </cfRule>
    <cfRule type="cellIs" dxfId="1" priority="5465" operator="equal">
      <formula>"未完成"</formula>
    </cfRule>
  </conditionalFormatting>
  <conditionalFormatting sqref="AN68">
    <cfRule type="cellIs" dxfId="1" priority="5445" operator="equal">
      <formula>"未完成"</formula>
    </cfRule>
    <cfRule type="cellIs" dxfId="0" priority="5455" operator="equal">
      <formula>"未完成"</formula>
    </cfRule>
  </conditionalFormatting>
  <conditionalFormatting sqref="AO68">
    <cfRule type="cellIs" dxfId="1" priority="5575" operator="equal">
      <formula>"未完成"</formula>
    </cfRule>
    <cfRule type="cellIs" dxfId="0" priority="5585" operator="equal">
      <formula>"未完成"</formula>
    </cfRule>
  </conditionalFormatting>
  <conditionalFormatting sqref="AQ68">
    <cfRule type="cellIs" dxfId="1" priority="5485" operator="equal">
      <formula>"未完成"</formula>
    </cfRule>
    <cfRule type="cellIs" dxfId="0" priority="5495" operator="equal">
      <formula>"未完成"</formula>
    </cfRule>
  </conditionalFormatting>
  <conditionalFormatting sqref="AR68">
    <cfRule type="cellIs" dxfId="1" priority="5535" operator="equal">
      <formula>"未完成"</formula>
    </cfRule>
    <cfRule type="cellIs" dxfId="0" priority="5545" operator="equal">
      <formula>"未完成"</formula>
    </cfRule>
  </conditionalFormatting>
  <conditionalFormatting sqref="AS68:AT68">
    <cfRule type="cellIs" dxfId="1" priority="5595" operator="equal">
      <formula>"未完成"</formula>
    </cfRule>
    <cfRule type="cellIs" dxfId="0" priority="5605" operator="equal">
      <formula>"未完成"</formula>
    </cfRule>
  </conditionalFormatting>
  <conditionalFormatting sqref="R69">
    <cfRule type="cellIs" dxfId="0" priority="5504" operator="equal">
      <formula>"欠"</formula>
    </cfRule>
  </conditionalFormatting>
  <conditionalFormatting sqref="T69">
    <cfRule type="cellIs" dxfId="0" priority="5434" operator="equal">
      <formula>"欠"</formula>
    </cfRule>
  </conditionalFormatting>
  <conditionalFormatting sqref="AC69">
    <cfRule type="cellIs" dxfId="0" priority="5614" operator="equal">
      <formula>"未完成"</formula>
    </cfRule>
  </conditionalFormatting>
  <conditionalFormatting sqref="AG69:AH69">
    <cfRule type="cellIs" dxfId="0" priority="5634" operator="equal">
      <formula>"未完成"</formula>
    </cfRule>
    <cfRule type="cellIs" dxfId="1" priority="5624" operator="equal">
      <formula>"未完成"</formula>
    </cfRule>
  </conditionalFormatting>
  <conditionalFormatting sqref="AI69">
    <cfRule type="cellIs" dxfId="0" priority="5524" operator="equal">
      <formula>"未完成"</formula>
    </cfRule>
    <cfRule type="cellIs" dxfId="1" priority="5514" operator="equal">
      <formula>"未完成"</formula>
    </cfRule>
  </conditionalFormatting>
  <conditionalFormatting sqref="AJ69">
    <cfRule type="cellIs" dxfId="0" priority="5564" operator="equal">
      <formula>"未完成"</formula>
    </cfRule>
    <cfRule type="cellIs" dxfId="1" priority="5554" operator="equal">
      <formula>"未完成"</formula>
    </cfRule>
  </conditionalFormatting>
  <conditionalFormatting sqref="AK69">
    <cfRule type="cellIs" dxfId="0" priority="5474" operator="equal">
      <formula>"未完成"</formula>
    </cfRule>
    <cfRule type="cellIs" dxfId="1" priority="5464" operator="equal">
      <formula>"未完成"</formula>
    </cfRule>
  </conditionalFormatting>
  <conditionalFormatting sqref="AN69">
    <cfRule type="cellIs" dxfId="1" priority="5444" operator="equal">
      <formula>"未完成"</formula>
    </cfRule>
    <cfRule type="cellIs" dxfId="0" priority="5454" operator="equal">
      <formula>"未完成"</formula>
    </cfRule>
  </conditionalFormatting>
  <conditionalFormatting sqref="AO69">
    <cfRule type="cellIs" dxfId="1" priority="5574" operator="equal">
      <formula>"未完成"</formula>
    </cfRule>
    <cfRule type="cellIs" dxfId="0" priority="5584" operator="equal">
      <formula>"未完成"</formula>
    </cfRule>
  </conditionalFormatting>
  <conditionalFormatting sqref="AQ69">
    <cfRule type="cellIs" dxfId="1" priority="5484" operator="equal">
      <formula>"未完成"</formula>
    </cfRule>
    <cfRule type="cellIs" dxfId="0" priority="5494" operator="equal">
      <formula>"未完成"</formula>
    </cfRule>
  </conditionalFormatting>
  <conditionalFormatting sqref="AR69">
    <cfRule type="cellIs" dxfId="1" priority="5534" operator="equal">
      <formula>"未完成"</formula>
    </cfRule>
    <cfRule type="cellIs" dxfId="0" priority="5544" operator="equal">
      <formula>"未完成"</formula>
    </cfRule>
  </conditionalFormatting>
  <conditionalFormatting sqref="AS69:AT69">
    <cfRule type="cellIs" dxfId="1" priority="5594" operator="equal">
      <formula>"未完成"</formula>
    </cfRule>
    <cfRule type="cellIs" dxfId="0" priority="5604" operator="equal">
      <formula>"未完成"</formula>
    </cfRule>
  </conditionalFormatting>
  <conditionalFormatting sqref="R70">
    <cfRule type="cellIs" dxfId="0" priority="5503" operator="equal">
      <formula>"欠"</formula>
    </cfRule>
  </conditionalFormatting>
  <conditionalFormatting sqref="T70">
    <cfRule type="cellIs" dxfId="0" priority="5433" operator="equal">
      <formula>"欠"</formula>
    </cfRule>
  </conditionalFormatting>
  <conditionalFormatting sqref="AC70">
    <cfRule type="cellIs" dxfId="0" priority="5613" operator="equal">
      <formula>"未完成"</formula>
    </cfRule>
  </conditionalFormatting>
  <conditionalFormatting sqref="AG70:AH70">
    <cfRule type="cellIs" dxfId="0" priority="5633" operator="equal">
      <formula>"未完成"</formula>
    </cfRule>
    <cfRule type="cellIs" dxfId="1" priority="5623" operator="equal">
      <formula>"未完成"</formula>
    </cfRule>
  </conditionalFormatting>
  <conditionalFormatting sqref="AI70">
    <cfRule type="cellIs" dxfId="0" priority="5523" operator="equal">
      <formula>"未完成"</formula>
    </cfRule>
    <cfRule type="cellIs" dxfId="1" priority="5513" operator="equal">
      <formula>"未完成"</formula>
    </cfRule>
  </conditionalFormatting>
  <conditionalFormatting sqref="AJ70">
    <cfRule type="cellIs" dxfId="0" priority="5563" operator="equal">
      <formula>"未完成"</formula>
    </cfRule>
    <cfRule type="cellIs" dxfId="1" priority="5553" operator="equal">
      <formula>"未完成"</formula>
    </cfRule>
  </conditionalFormatting>
  <conditionalFormatting sqref="AK70">
    <cfRule type="cellIs" dxfId="0" priority="5473" operator="equal">
      <formula>"未完成"</formula>
    </cfRule>
    <cfRule type="cellIs" dxfId="1" priority="5463" operator="equal">
      <formula>"未完成"</formula>
    </cfRule>
  </conditionalFormatting>
  <conditionalFormatting sqref="AN70">
    <cfRule type="cellIs" dxfId="1" priority="5443" operator="equal">
      <formula>"未完成"</formula>
    </cfRule>
    <cfRule type="cellIs" dxfId="0" priority="5453" operator="equal">
      <formula>"未完成"</formula>
    </cfRule>
  </conditionalFormatting>
  <conditionalFormatting sqref="AO70">
    <cfRule type="cellIs" dxfId="1" priority="5573" operator="equal">
      <formula>"未完成"</formula>
    </cfRule>
    <cfRule type="cellIs" dxfId="0" priority="5583" operator="equal">
      <formula>"未完成"</formula>
    </cfRule>
  </conditionalFormatting>
  <conditionalFormatting sqref="AQ70">
    <cfRule type="cellIs" dxfId="1" priority="5483" operator="equal">
      <formula>"未完成"</formula>
    </cfRule>
    <cfRule type="cellIs" dxfId="0" priority="5493" operator="equal">
      <formula>"未完成"</formula>
    </cfRule>
  </conditionalFormatting>
  <conditionalFormatting sqref="AR70">
    <cfRule type="cellIs" dxfId="1" priority="5533" operator="equal">
      <formula>"未完成"</formula>
    </cfRule>
    <cfRule type="cellIs" dxfId="0" priority="5543" operator="equal">
      <formula>"未完成"</formula>
    </cfRule>
  </conditionalFormatting>
  <conditionalFormatting sqref="AS70:AT70">
    <cfRule type="cellIs" dxfId="1" priority="5593" operator="equal">
      <formula>"未完成"</formula>
    </cfRule>
    <cfRule type="cellIs" dxfId="0" priority="5603" operator="equal">
      <formula>"未完成"</formula>
    </cfRule>
  </conditionalFormatting>
  <conditionalFormatting sqref="R71">
    <cfRule type="cellIs" dxfId="0" priority="5502" operator="equal">
      <formula>"欠"</formula>
    </cfRule>
  </conditionalFormatting>
  <conditionalFormatting sqref="T71">
    <cfRule type="cellIs" dxfId="0" priority="5432" operator="equal">
      <formula>"欠"</formula>
    </cfRule>
  </conditionalFormatting>
  <conditionalFormatting sqref="AC71">
    <cfRule type="cellIs" dxfId="0" priority="5612" operator="equal">
      <formula>"未完成"</formula>
    </cfRule>
  </conditionalFormatting>
  <conditionalFormatting sqref="AG71:AH71">
    <cfRule type="cellIs" dxfId="0" priority="5632" operator="equal">
      <formula>"未完成"</formula>
    </cfRule>
    <cfRule type="cellIs" dxfId="1" priority="5622" operator="equal">
      <formula>"未完成"</formula>
    </cfRule>
  </conditionalFormatting>
  <conditionalFormatting sqref="AI71">
    <cfRule type="cellIs" dxfId="0" priority="5522" operator="equal">
      <formula>"未完成"</formula>
    </cfRule>
    <cfRule type="cellIs" dxfId="1" priority="5512" operator="equal">
      <formula>"未完成"</formula>
    </cfRule>
  </conditionalFormatting>
  <conditionalFormatting sqref="AJ71">
    <cfRule type="cellIs" dxfId="0" priority="5562" operator="equal">
      <formula>"未完成"</formula>
    </cfRule>
    <cfRule type="cellIs" dxfId="1" priority="5552" operator="equal">
      <formula>"未完成"</formula>
    </cfRule>
  </conditionalFormatting>
  <conditionalFormatting sqref="AK71">
    <cfRule type="cellIs" dxfId="0" priority="5472" operator="equal">
      <formula>"未完成"</formula>
    </cfRule>
    <cfRule type="cellIs" dxfId="1" priority="5462" operator="equal">
      <formula>"未完成"</formula>
    </cfRule>
  </conditionalFormatting>
  <conditionalFormatting sqref="AN71">
    <cfRule type="cellIs" dxfId="1" priority="5442" operator="equal">
      <formula>"未完成"</formula>
    </cfRule>
    <cfRule type="cellIs" dxfId="0" priority="5452" operator="equal">
      <formula>"未完成"</formula>
    </cfRule>
  </conditionalFormatting>
  <conditionalFormatting sqref="AO71">
    <cfRule type="cellIs" dxfId="1" priority="5572" operator="equal">
      <formula>"未完成"</formula>
    </cfRule>
    <cfRule type="cellIs" dxfId="0" priority="5582" operator="equal">
      <formula>"未完成"</formula>
    </cfRule>
  </conditionalFormatting>
  <conditionalFormatting sqref="AQ71">
    <cfRule type="cellIs" dxfId="1" priority="5482" operator="equal">
      <formula>"未完成"</formula>
    </cfRule>
    <cfRule type="cellIs" dxfId="0" priority="5492" operator="equal">
      <formula>"未完成"</formula>
    </cfRule>
  </conditionalFormatting>
  <conditionalFormatting sqref="AR71">
    <cfRule type="cellIs" dxfId="1" priority="5532" operator="equal">
      <formula>"未完成"</formula>
    </cfRule>
    <cfRule type="cellIs" dxfId="0" priority="5542" operator="equal">
      <formula>"未完成"</formula>
    </cfRule>
  </conditionalFormatting>
  <conditionalFormatting sqref="AS71:AT71">
    <cfRule type="cellIs" dxfId="1" priority="5592" operator="equal">
      <formula>"未完成"</formula>
    </cfRule>
    <cfRule type="cellIs" dxfId="0" priority="5602" operator="equal">
      <formula>"未完成"</formula>
    </cfRule>
  </conditionalFormatting>
  <conditionalFormatting sqref="R72">
    <cfRule type="cellIs" dxfId="0" priority="5313" operator="equal">
      <formula>"欠"</formula>
    </cfRule>
  </conditionalFormatting>
  <conditionalFormatting sqref="T72">
    <cfRule type="cellIs" dxfId="0" priority="5306" operator="equal">
      <formula>"欠"</formula>
    </cfRule>
  </conditionalFormatting>
  <conditionalFormatting sqref="AC72">
    <cfRule type="cellIs" dxfId="0" priority="5324" operator="equal">
      <formula>"未完成"</formula>
    </cfRule>
  </conditionalFormatting>
  <conditionalFormatting sqref="AG72:AH72">
    <cfRule type="cellIs" dxfId="0" priority="5326" operator="equal">
      <formula>"未完成"</formula>
    </cfRule>
    <cfRule type="cellIs" dxfId="1" priority="5325" operator="equal">
      <formula>"未完成"</formula>
    </cfRule>
  </conditionalFormatting>
  <conditionalFormatting sqref="AI72">
    <cfRule type="cellIs" dxfId="0" priority="5315" operator="equal">
      <formula>"未完成"</formula>
    </cfRule>
    <cfRule type="cellIs" dxfId="1" priority="5314" operator="equal">
      <formula>"未完成"</formula>
    </cfRule>
  </conditionalFormatting>
  <conditionalFormatting sqref="AJ72">
    <cfRule type="cellIs" dxfId="0" priority="5319" operator="equal">
      <formula>"未完成"</formula>
    </cfRule>
    <cfRule type="cellIs" dxfId="1" priority="5318" operator="equal">
      <formula>"未完成"</formula>
    </cfRule>
  </conditionalFormatting>
  <conditionalFormatting sqref="AK72">
    <cfRule type="cellIs" dxfId="0" priority="5310" operator="equal">
      <formula>"未完成"</formula>
    </cfRule>
    <cfRule type="cellIs" dxfId="1" priority="5309" operator="equal">
      <formula>"未完成"</formula>
    </cfRule>
  </conditionalFormatting>
  <conditionalFormatting sqref="AN72">
    <cfRule type="cellIs" dxfId="1" priority="5307" operator="equal">
      <formula>"未完成"</formula>
    </cfRule>
    <cfRule type="cellIs" dxfId="0" priority="5308" operator="equal">
      <formula>"未完成"</formula>
    </cfRule>
  </conditionalFormatting>
  <conditionalFormatting sqref="AO72">
    <cfRule type="cellIs" dxfId="1" priority="5320" operator="equal">
      <formula>"未完成"</formula>
    </cfRule>
    <cfRule type="cellIs" dxfId="0" priority="5321" operator="equal">
      <formula>"未完成"</formula>
    </cfRule>
  </conditionalFormatting>
  <conditionalFormatting sqref="AQ72">
    <cfRule type="cellIs" dxfId="1" priority="5311" operator="equal">
      <formula>"未完成"</formula>
    </cfRule>
    <cfRule type="cellIs" dxfId="0" priority="5312" operator="equal">
      <formula>"未完成"</formula>
    </cfRule>
  </conditionalFormatting>
  <conditionalFormatting sqref="AR72">
    <cfRule type="cellIs" dxfId="1" priority="5316" operator="equal">
      <formula>"未完成"</formula>
    </cfRule>
    <cfRule type="cellIs" dxfId="0" priority="5317" operator="equal">
      <formula>"未完成"</formula>
    </cfRule>
  </conditionalFormatting>
  <conditionalFormatting sqref="AS72:AT72">
    <cfRule type="cellIs" dxfId="1" priority="5322" operator="equal">
      <formula>"未完成"</formula>
    </cfRule>
    <cfRule type="cellIs" dxfId="0" priority="5323" operator="equal">
      <formula>"未完成"</formula>
    </cfRule>
  </conditionalFormatting>
  <conditionalFormatting sqref="R73">
    <cfRule type="cellIs" dxfId="0" priority="5264" operator="equal">
      <formula>"欠"</formula>
    </cfRule>
  </conditionalFormatting>
  <conditionalFormatting sqref="T73">
    <cfRule type="cellIs" dxfId="0" priority="5243" operator="equal">
      <formula>"欠"</formula>
    </cfRule>
  </conditionalFormatting>
  <conditionalFormatting sqref="AC73">
    <cfRule type="cellIs" dxfId="0" priority="5297" operator="equal">
      <formula>"未完成"</formula>
    </cfRule>
  </conditionalFormatting>
  <conditionalFormatting sqref="AG73:AH73">
    <cfRule type="cellIs" dxfId="0" priority="5303" operator="equal">
      <formula>"未完成"</formula>
    </cfRule>
    <cfRule type="cellIs" dxfId="1" priority="5300" operator="equal">
      <formula>"未完成"</formula>
    </cfRule>
  </conditionalFormatting>
  <conditionalFormatting sqref="AI73">
    <cfRule type="cellIs" dxfId="0" priority="5270" operator="equal">
      <formula>"未完成"</formula>
    </cfRule>
    <cfRule type="cellIs" dxfId="1" priority="5267" operator="equal">
      <formula>"未完成"</formula>
    </cfRule>
  </conditionalFormatting>
  <conditionalFormatting sqref="AJ73">
    <cfRule type="cellIs" dxfId="0" priority="5282" operator="equal">
      <formula>"未完成"</formula>
    </cfRule>
    <cfRule type="cellIs" dxfId="1" priority="5279" operator="equal">
      <formula>"未完成"</formula>
    </cfRule>
  </conditionalFormatting>
  <conditionalFormatting sqref="AN73">
    <cfRule type="cellIs" dxfId="1" priority="5246" operator="equal">
      <formula>"未完成"</formula>
    </cfRule>
    <cfRule type="cellIs" dxfId="0" priority="5249" operator="equal">
      <formula>"未完成"</formula>
    </cfRule>
  </conditionalFormatting>
  <conditionalFormatting sqref="AO73">
    <cfRule type="cellIs" dxfId="1" priority="5285" operator="equal">
      <formula>"未完成"</formula>
    </cfRule>
    <cfRule type="cellIs" dxfId="0" priority="5288" operator="equal">
      <formula>"未完成"</formula>
    </cfRule>
  </conditionalFormatting>
  <conditionalFormatting sqref="AR73">
    <cfRule type="cellIs" dxfId="1" priority="5273" operator="equal">
      <formula>"未完成"</formula>
    </cfRule>
    <cfRule type="cellIs" dxfId="0" priority="5276" operator="equal">
      <formula>"未完成"</formula>
    </cfRule>
  </conditionalFormatting>
  <conditionalFormatting sqref="AS73:AT73">
    <cfRule type="cellIs" dxfId="1" priority="5291" operator="equal">
      <formula>"未完成"</formula>
    </cfRule>
    <cfRule type="cellIs" dxfId="0" priority="5294" operator="equal">
      <formula>"未完成"</formula>
    </cfRule>
  </conditionalFormatting>
  <conditionalFormatting sqref="R74">
    <cfRule type="cellIs" dxfId="0" priority="5263" operator="equal">
      <formula>"欠"</formula>
    </cfRule>
  </conditionalFormatting>
  <conditionalFormatting sqref="T74">
    <cfRule type="cellIs" dxfId="0" priority="5242" operator="equal">
      <formula>"欠"</formula>
    </cfRule>
  </conditionalFormatting>
  <conditionalFormatting sqref="AC74">
    <cfRule type="cellIs" dxfId="0" priority="5296" operator="equal">
      <formula>"未完成"</formula>
    </cfRule>
  </conditionalFormatting>
  <conditionalFormatting sqref="AG74:AH74">
    <cfRule type="cellIs" dxfId="0" priority="5302" operator="equal">
      <formula>"未完成"</formula>
    </cfRule>
    <cfRule type="cellIs" dxfId="1" priority="5299" operator="equal">
      <formula>"未完成"</formula>
    </cfRule>
  </conditionalFormatting>
  <conditionalFormatting sqref="AI74">
    <cfRule type="cellIs" dxfId="0" priority="5269" operator="equal">
      <formula>"未完成"</formula>
    </cfRule>
    <cfRule type="cellIs" dxfId="1" priority="5266" operator="equal">
      <formula>"未完成"</formula>
    </cfRule>
  </conditionalFormatting>
  <conditionalFormatting sqref="AJ74">
    <cfRule type="cellIs" dxfId="0" priority="5281" operator="equal">
      <formula>"未完成"</formula>
    </cfRule>
    <cfRule type="cellIs" dxfId="1" priority="5278" operator="equal">
      <formula>"未完成"</formula>
    </cfRule>
  </conditionalFormatting>
  <conditionalFormatting sqref="AK74">
    <cfRule type="cellIs" dxfId="0" priority="5254" operator="equal">
      <formula>"未完成"</formula>
    </cfRule>
    <cfRule type="cellIs" dxfId="1" priority="5251" operator="equal">
      <formula>"未完成"</formula>
    </cfRule>
  </conditionalFormatting>
  <conditionalFormatting sqref="AN74">
    <cfRule type="cellIs" dxfId="1" priority="5245" operator="equal">
      <formula>"未完成"</formula>
    </cfRule>
    <cfRule type="cellIs" dxfId="0" priority="5248" operator="equal">
      <formula>"未完成"</formula>
    </cfRule>
  </conditionalFormatting>
  <conditionalFormatting sqref="AO74">
    <cfRule type="cellIs" dxfId="1" priority="5284" operator="equal">
      <formula>"未完成"</formula>
    </cfRule>
    <cfRule type="cellIs" dxfId="0" priority="5287" operator="equal">
      <formula>"未完成"</formula>
    </cfRule>
  </conditionalFormatting>
  <conditionalFormatting sqref="AQ74">
    <cfRule type="cellIs" dxfId="1" priority="5257" operator="equal">
      <formula>"未完成"</formula>
    </cfRule>
    <cfRule type="cellIs" dxfId="0" priority="5260" operator="equal">
      <formula>"未完成"</formula>
    </cfRule>
  </conditionalFormatting>
  <conditionalFormatting sqref="AR74">
    <cfRule type="cellIs" dxfId="1" priority="5272" operator="equal">
      <formula>"未完成"</formula>
    </cfRule>
    <cfRule type="cellIs" dxfId="0" priority="5275" operator="equal">
      <formula>"未完成"</formula>
    </cfRule>
  </conditionalFormatting>
  <conditionalFormatting sqref="AS74:AT74">
    <cfRule type="cellIs" dxfId="1" priority="5290" operator="equal">
      <formula>"未完成"</formula>
    </cfRule>
    <cfRule type="cellIs" dxfId="0" priority="5293" operator="equal">
      <formula>"未完成"</formula>
    </cfRule>
  </conditionalFormatting>
  <conditionalFormatting sqref="R75">
    <cfRule type="cellIs" dxfId="0" priority="5262" operator="equal">
      <formula>"欠"</formula>
    </cfRule>
  </conditionalFormatting>
  <conditionalFormatting sqref="T75">
    <cfRule type="cellIs" dxfId="0" priority="5241" operator="equal">
      <formula>"欠"</formula>
    </cfRule>
  </conditionalFormatting>
  <conditionalFormatting sqref="AC75">
    <cfRule type="cellIs" dxfId="0" priority="5295" operator="equal">
      <formula>"未完成"</formula>
    </cfRule>
  </conditionalFormatting>
  <conditionalFormatting sqref="AG75:AH75">
    <cfRule type="cellIs" dxfId="0" priority="5301" operator="equal">
      <formula>"未完成"</formula>
    </cfRule>
    <cfRule type="cellIs" dxfId="1" priority="5298" operator="equal">
      <formula>"未完成"</formula>
    </cfRule>
  </conditionalFormatting>
  <conditionalFormatting sqref="AI75">
    <cfRule type="cellIs" dxfId="0" priority="5268" operator="equal">
      <formula>"未完成"</formula>
    </cfRule>
    <cfRule type="cellIs" dxfId="1" priority="5265" operator="equal">
      <formula>"未完成"</formula>
    </cfRule>
  </conditionalFormatting>
  <conditionalFormatting sqref="AJ75">
    <cfRule type="cellIs" dxfId="0" priority="5280" operator="equal">
      <formula>"未完成"</formula>
    </cfRule>
    <cfRule type="cellIs" dxfId="1" priority="5277" operator="equal">
      <formula>"未完成"</formula>
    </cfRule>
  </conditionalFormatting>
  <conditionalFormatting sqref="AK75">
    <cfRule type="cellIs" dxfId="0" priority="5253" operator="equal">
      <formula>"未完成"</formula>
    </cfRule>
    <cfRule type="cellIs" dxfId="1" priority="5250" operator="equal">
      <formula>"未完成"</formula>
    </cfRule>
  </conditionalFormatting>
  <conditionalFormatting sqref="AN75">
    <cfRule type="cellIs" dxfId="1" priority="5244" operator="equal">
      <formula>"未完成"</formula>
    </cfRule>
    <cfRule type="cellIs" dxfId="0" priority="5247" operator="equal">
      <formula>"未完成"</formula>
    </cfRule>
  </conditionalFormatting>
  <conditionalFormatting sqref="AO75">
    <cfRule type="cellIs" dxfId="1" priority="5283" operator="equal">
      <formula>"未完成"</formula>
    </cfRule>
    <cfRule type="cellIs" dxfId="0" priority="5286" operator="equal">
      <formula>"未完成"</formula>
    </cfRule>
  </conditionalFormatting>
  <conditionalFormatting sqref="AQ75">
    <cfRule type="cellIs" dxfId="1" priority="5256" operator="equal">
      <formula>"未完成"</formula>
    </cfRule>
    <cfRule type="cellIs" dxfId="0" priority="5259" operator="equal">
      <formula>"未完成"</formula>
    </cfRule>
  </conditionalFormatting>
  <conditionalFormatting sqref="AR75">
    <cfRule type="cellIs" dxfId="1" priority="5271" operator="equal">
      <formula>"未完成"</formula>
    </cfRule>
    <cfRule type="cellIs" dxfId="0" priority="5274" operator="equal">
      <formula>"未完成"</formula>
    </cfRule>
  </conditionalFormatting>
  <conditionalFormatting sqref="AS75:AT75">
    <cfRule type="cellIs" dxfId="1" priority="5289" operator="equal">
      <formula>"未完成"</formula>
    </cfRule>
    <cfRule type="cellIs" dxfId="0" priority="5292" operator="equal">
      <formula>"未完成"</formula>
    </cfRule>
  </conditionalFormatting>
  <conditionalFormatting sqref="R76">
    <cfRule type="cellIs" dxfId="0" priority="5227" operator="equal">
      <formula>"欠"</formula>
    </cfRule>
  </conditionalFormatting>
  <conditionalFormatting sqref="T76">
    <cfRule type="cellIs" dxfId="0" priority="5220" operator="equal">
      <formula>"欠"</formula>
    </cfRule>
  </conditionalFormatting>
  <conditionalFormatting sqref="AC76">
    <cfRule type="cellIs" dxfId="0" priority="5238" operator="equal">
      <formula>"未完成"</formula>
    </cfRule>
  </conditionalFormatting>
  <conditionalFormatting sqref="AG76:AH76">
    <cfRule type="cellIs" dxfId="0" priority="5240" operator="equal">
      <formula>"未完成"</formula>
    </cfRule>
    <cfRule type="cellIs" dxfId="1" priority="5239" operator="equal">
      <formula>"未完成"</formula>
    </cfRule>
  </conditionalFormatting>
  <conditionalFormatting sqref="AI76">
    <cfRule type="cellIs" dxfId="0" priority="5229" operator="equal">
      <formula>"未完成"</formula>
    </cfRule>
    <cfRule type="cellIs" dxfId="1" priority="5228" operator="equal">
      <formula>"未完成"</formula>
    </cfRule>
  </conditionalFormatting>
  <conditionalFormatting sqref="AJ76">
    <cfRule type="cellIs" dxfId="0" priority="5233" operator="equal">
      <formula>"未完成"</formula>
    </cfRule>
    <cfRule type="cellIs" dxfId="1" priority="5232" operator="equal">
      <formula>"未完成"</formula>
    </cfRule>
  </conditionalFormatting>
  <conditionalFormatting sqref="AK76">
    <cfRule type="cellIs" dxfId="0" priority="5224" operator="equal">
      <formula>"未完成"</formula>
    </cfRule>
    <cfRule type="cellIs" dxfId="1" priority="5223" operator="equal">
      <formula>"未完成"</formula>
    </cfRule>
  </conditionalFormatting>
  <conditionalFormatting sqref="AN76">
    <cfRule type="cellIs" dxfId="1" priority="5221" operator="equal">
      <formula>"未完成"</formula>
    </cfRule>
    <cfRule type="cellIs" dxfId="0" priority="5222" operator="equal">
      <formula>"未完成"</formula>
    </cfRule>
  </conditionalFormatting>
  <conditionalFormatting sqref="AO76">
    <cfRule type="cellIs" dxfId="1" priority="5234" operator="equal">
      <formula>"未完成"</formula>
    </cfRule>
    <cfRule type="cellIs" dxfId="0" priority="5235" operator="equal">
      <formula>"未完成"</formula>
    </cfRule>
  </conditionalFormatting>
  <conditionalFormatting sqref="AQ76">
    <cfRule type="cellIs" dxfId="1" priority="5225" operator="equal">
      <formula>"未完成"</formula>
    </cfRule>
    <cfRule type="cellIs" dxfId="0" priority="5226" operator="equal">
      <formula>"未完成"</formula>
    </cfRule>
  </conditionalFormatting>
  <conditionalFormatting sqref="AR76">
    <cfRule type="cellIs" dxfId="1" priority="5230" operator="equal">
      <formula>"未完成"</formula>
    </cfRule>
    <cfRule type="cellIs" dxfId="0" priority="5231" operator="equal">
      <formula>"未完成"</formula>
    </cfRule>
  </conditionalFormatting>
  <conditionalFormatting sqref="AS76:AT76">
    <cfRule type="cellIs" dxfId="1" priority="5236" operator="equal">
      <formula>"未完成"</formula>
    </cfRule>
    <cfRule type="cellIs" dxfId="0" priority="5237" operator="equal">
      <formula>"未完成"</formula>
    </cfRule>
  </conditionalFormatting>
  <conditionalFormatting sqref="R77">
    <cfRule type="cellIs" dxfId="0" priority="5206" operator="equal">
      <formula>"欠"</formula>
    </cfRule>
  </conditionalFormatting>
  <conditionalFormatting sqref="T77">
    <cfRule type="cellIs" dxfId="0" priority="5199" operator="equal">
      <formula>"欠"</formula>
    </cfRule>
  </conditionalFormatting>
  <conditionalFormatting sqref="AC77">
    <cfRule type="cellIs" dxfId="0" priority="5217" operator="equal">
      <formula>"未完成"</formula>
    </cfRule>
  </conditionalFormatting>
  <conditionalFormatting sqref="AG77:AH77">
    <cfRule type="cellIs" dxfId="0" priority="5219" operator="equal">
      <formula>"未完成"</formula>
    </cfRule>
    <cfRule type="cellIs" dxfId="1" priority="5218" operator="equal">
      <formula>"未完成"</formula>
    </cfRule>
  </conditionalFormatting>
  <conditionalFormatting sqref="AI77">
    <cfRule type="cellIs" dxfId="0" priority="5208" operator="equal">
      <formula>"未完成"</formula>
    </cfRule>
    <cfRule type="cellIs" dxfId="1" priority="5207" operator="equal">
      <formula>"未完成"</formula>
    </cfRule>
  </conditionalFormatting>
  <conditionalFormatting sqref="AJ77">
    <cfRule type="cellIs" dxfId="0" priority="5212" operator="equal">
      <formula>"未完成"</formula>
    </cfRule>
    <cfRule type="cellIs" dxfId="1" priority="5211" operator="equal">
      <formula>"未完成"</formula>
    </cfRule>
  </conditionalFormatting>
  <conditionalFormatting sqref="AK77">
    <cfRule type="cellIs" dxfId="0" priority="5203" operator="equal">
      <formula>"未完成"</formula>
    </cfRule>
    <cfRule type="cellIs" dxfId="1" priority="5202" operator="equal">
      <formula>"未完成"</formula>
    </cfRule>
  </conditionalFormatting>
  <conditionalFormatting sqref="AN77">
    <cfRule type="cellIs" dxfId="1" priority="5200" operator="equal">
      <formula>"未完成"</formula>
    </cfRule>
    <cfRule type="cellIs" dxfId="0" priority="5201" operator="equal">
      <formula>"未完成"</formula>
    </cfRule>
  </conditionalFormatting>
  <conditionalFormatting sqref="AO77">
    <cfRule type="cellIs" dxfId="1" priority="5213" operator="equal">
      <formula>"未完成"</formula>
    </cfRule>
    <cfRule type="cellIs" dxfId="0" priority="5214" operator="equal">
      <formula>"未完成"</formula>
    </cfRule>
  </conditionalFormatting>
  <conditionalFormatting sqref="AQ77">
    <cfRule type="cellIs" dxfId="1" priority="5204" operator="equal">
      <formula>"未完成"</formula>
    </cfRule>
    <cfRule type="cellIs" dxfId="0" priority="5205" operator="equal">
      <formula>"未完成"</formula>
    </cfRule>
  </conditionalFormatting>
  <conditionalFormatting sqref="AR77">
    <cfRule type="cellIs" dxfId="1" priority="5209" operator="equal">
      <formula>"未完成"</formula>
    </cfRule>
    <cfRule type="cellIs" dxfId="0" priority="5210" operator="equal">
      <formula>"未完成"</formula>
    </cfRule>
  </conditionalFormatting>
  <conditionalFormatting sqref="AS77:AT77">
    <cfRule type="cellIs" dxfId="1" priority="5215" operator="equal">
      <formula>"未完成"</formula>
    </cfRule>
    <cfRule type="cellIs" dxfId="0" priority="5216" operator="equal">
      <formula>"未完成"</formula>
    </cfRule>
  </conditionalFormatting>
  <conditionalFormatting sqref="R78">
    <cfRule type="cellIs" dxfId="0" priority="5120" operator="equal">
      <formula>"欠"</formula>
    </cfRule>
  </conditionalFormatting>
  <conditionalFormatting sqref="T78">
    <cfRule type="cellIs" dxfId="0" priority="5078" operator="equal">
      <formula>"欠"</formula>
    </cfRule>
  </conditionalFormatting>
  <conditionalFormatting sqref="AC78">
    <cfRule type="cellIs" dxfId="0" priority="5186" operator="equal">
      <formula>"未完成"</formula>
    </cfRule>
  </conditionalFormatting>
  <conditionalFormatting sqref="AG78:AH78">
    <cfRule type="cellIs" dxfId="0" priority="5198" operator="equal">
      <formula>"未完成"</formula>
    </cfRule>
    <cfRule type="cellIs" dxfId="1" priority="5192" operator="equal">
      <formula>"未完成"</formula>
    </cfRule>
  </conditionalFormatting>
  <conditionalFormatting sqref="AI78">
    <cfRule type="cellIs" dxfId="0" priority="5132" operator="equal">
      <formula>"未完成"</formula>
    </cfRule>
    <cfRule type="cellIs" dxfId="1" priority="5126" operator="equal">
      <formula>"未完成"</formula>
    </cfRule>
  </conditionalFormatting>
  <conditionalFormatting sqref="AJ78">
    <cfRule type="cellIs" dxfId="0" priority="5156" operator="equal">
      <formula>"未完成"</formula>
    </cfRule>
    <cfRule type="cellIs" dxfId="1" priority="5150" operator="equal">
      <formula>"未完成"</formula>
    </cfRule>
  </conditionalFormatting>
  <conditionalFormatting sqref="AK78">
    <cfRule type="cellIs" dxfId="0" priority="5102" operator="equal">
      <formula>"未完成"</formula>
    </cfRule>
    <cfRule type="cellIs" dxfId="1" priority="5096" operator="equal">
      <formula>"未完成"</formula>
    </cfRule>
  </conditionalFormatting>
  <conditionalFormatting sqref="AN78">
    <cfRule type="cellIs" dxfId="1" priority="5084" operator="equal">
      <formula>"未完成"</formula>
    </cfRule>
    <cfRule type="cellIs" dxfId="0" priority="5090" operator="equal">
      <formula>"未完成"</formula>
    </cfRule>
  </conditionalFormatting>
  <conditionalFormatting sqref="AO78">
    <cfRule type="cellIs" dxfId="1" priority="5162" operator="equal">
      <formula>"未完成"</formula>
    </cfRule>
    <cfRule type="cellIs" dxfId="0" priority="5168" operator="equal">
      <formula>"未完成"</formula>
    </cfRule>
  </conditionalFormatting>
  <conditionalFormatting sqref="AQ78">
    <cfRule type="cellIs" dxfId="1" priority="5108" operator="equal">
      <formula>"未完成"</formula>
    </cfRule>
    <cfRule type="cellIs" dxfId="0" priority="5114" operator="equal">
      <formula>"未完成"</formula>
    </cfRule>
  </conditionalFormatting>
  <conditionalFormatting sqref="AR78">
    <cfRule type="cellIs" dxfId="1" priority="5138" operator="equal">
      <formula>"未完成"</formula>
    </cfRule>
    <cfRule type="cellIs" dxfId="0" priority="5144" operator="equal">
      <formula>"未完成"</formula>
    </cfRule>
  </conditionalFormatting>
  <conditionalFormatting sqref="AS78:AT78">
    <cfRule type="cellIs" dxfId="1" priority="5174" operator="equal">
      <formula>"未完成"</formula>
    </cfRule>
    <cfRule type="cellIs" dxfId="0" priority="5180" operator="equal">
      <formula>"未完成"</formula>
    </cfRule>
  </conditionalFormatting>
  <conditionalFormatting sqref="R79">
    <cfRule type="cellIs" dxfId="0" priority="5119" operator="equal">
      <formula>"欠"</formula>
    </cfRule>
  </conditionalFormatting>
  <conditionalFormatting sqref="T79">
    <cfRule type="cellIs" dxfId="0" priority="5077" operator="equal">
      <formula>"欠"</formula>
    </cfRule>
  </conditionalFormatting>
  <conditionalFormatting sqref="AC79">
    <cfRule type="cellIs" dxfId="0" priority="5185" operator="equal">
      <formula>"未完成"</formula>
    </cfRule>
  </conditionalFormatting>
  <conditionalFormatting sqref="AG79:AH79">
    <cfRule type="cellIs" dxfId="0" priority="5197" operator="equal">
      <formula>"未完成"</formula>
    </cfRule>
    <cfRule type="cellIs" dxfId="1" priority="5191" operator="equal">
      <formula>"未完成"</formula>
    </cfRule>
  </conditionalFormatting>
  <conditionalFormatting sqref="AI79">
    <cfRule type="cellIs" dxfId="0" priority="5131" operator="equal">
      <formula>"未完成"</formula>
    </cfRule>
    <cfRule type="cellIs" dxfId="1" priority="5125" operator="equal">
      <formula>"未完成"</formula>
    </cfRule>
  </conditionalFormatting>
  <conditionalFormatting sqref="AJ79">
    <cfRule type="cellIs" dxfId="0" priority="5155" operator="equal">
      <formula>"未完成"</formula>
    </cfRule>
    <cfRule type="cellIs" dxfId="1" priority="5149" operator="equal">
      <formula>"未完成"</formula>
    </cfRule>
  </conditionalFormatting>
  <conditionalFormatting sqref="AK79">
    <cfRule type="cellIs" dxfId="0" priority="5101" operator="equal">
      <formula>"未完成"</formula>
    </cfRule>
    <cfRule type="cellIs" dxfId="1" priority="5095" operator="equal">
      <formula>"未完成"</formula>
    </cfRule>
  </conditionalFormatting>
  <conditionalFormatting sqref="AN79">
    <cfRule type="cellIs" dxfId="1" priority="5083" operator="equal">
      <formula>"未完成"</formula>
    </cfRule>
    <cfRule type="cellIs" dxfId="0" priority="5089" operator="equal">
      <formula>"未完成"</formula>
    </cfRule>
  </conditionalFormatting>
  <conditionalFormatting sqref="AO79">
    <cfRule type="cellIs" dxfId="1" priority="5161" operator="equal">
      <formula>"未完成"</formula>
    </cfRule>
    <cfRule type="cellIs" dxfId="0" priority="5167" operator="equal">
      <formula>"未完成"</formula>
    </cfRule>
  </conditionalFormatting>
  <conditionalFormatting sqref="AQ79">
    <cfRule type="cellIs" dxfId="1" priority="5107" operator="equal">
      <formula>"未完成"</formula>
    </cfRule>
    <cfRule type="cellIs" dxfId="0" priority="5113" operator="equal">
      <formula>"未完成"</formula>
    </cfRule>
  </conditionalFormatting>
  <conditionalFormatting sqref="AR79">
    <cfRule type="cellIs" dxfId="1" priority="5137" operator="equal">
      <formula>"未完成"</formula>
    </cfRule>
    <cfRule type="cellIs" dxfId="0" priority="5143" operator="equal">
      <formula>"未完成"</formula>
    </cfRule>
  </conditionalFormatting>
  <conditionalFormatting sqref="AS79:AT79">
    <cfRule type="cellIs" dxfId="1" priority="5173" operator="equal">
      <formula>"未完成"</formula>
    </cfRule>
    <cfRule type="cellIs" dxfId="0" priority="5179" operator="equal">
      <formula>"未完成"</formula>
    </cfRule>
  </conditionalFormatting>
  <conditionalFormatting sqref="R80">
    <cfRule type="cellIs" dxfId="0" priority="5118" operator="equal">
      <formula>"欠"</formula>
    </cfRule>
  </conditionalFormatting>
  <conditionalFormatting sqref="T80">
    <cfRule type="cellIs" dxfId="0" priority="5076" operator="equal">
      <formula>"欠"</formula>
    </cfRule>
  </conditionalFormatting>
  <conditionalFormatting sqref="AC80">
    <cfRule type="cellIs" dxfId="0" priority="5184" operator="equal">
      <formula>"未完成"</formula>
    </cfRule>
  </conditionalFormatting>
  <conditionalFormatting sqref="AG80:AH80">
    <cfRule type="cellIs" dxfId="0" priority="5196" operator="equal">
      <formula>"未完成"</formula>
    </cfRule>
    <cfRule type="cellIs" dxfId="1" priority="5190" operator="equal">
      <formula>"未完成"</formula>
    </cfRule>
  </conditionalFormatting>
  <conditionalFormatting sqref="AI80">
    <cfRule type="cellIs" dxfId="0" priority="5130" operator="equal">
      <formula>"未完成"</formula>
    </cfRule>
    <cfRule type="cellIs" dxfId="1" priority="5124" operator="equal">
      <formula>"未完成"</formula>
    </cfRule>
  </conditionalFormatting>
  <conditionalFormatting sqref="AJ80">
    <cfRule type="cellIs" dxfId="0" priority="5154" operator="equal">
      <formula>"未完成"</formula>
    </cfRule>
    <cfRule type="cellIs" dxfId="1" priority="5148" operator="equal">
      <formula>"未完成"</formula>
    </cfRule>
  </conditionalFormatting>
  <conditionalFormatting sqref="AK80">
    <cfRule type="cellIs" dxfId="0" priority="5100" operator="equal">
      <formula>"未完成"</formula>
    </cfRule>
    <cfRule type="cellIs" dxfId="1" priority="5094" operator="equal">
      <formula>"未完成"</formula>
    </cfRule>
  </conditionalFormatting>
  <conditionalFormatting sqref="AN80">
    <cfRule type="cellIs" dxfId="1" priority="5082" operator="equal">
      <formula>"未完成"</formula>
    </cfRule>
    <cfRule type="cellIs" dxfId="0" priority="5088" operator="equal">
      <formula>"未完成"</formula>
    </cfRule>
  </conditionalFormatting>
  <conditionalFormatting sqref="AO80">
    <cfRule type="cellIs" dxfId="1" priority="5160" operator="equal">
      <formula>"未完成"</formula>
    </cfRule>
    <cfRule type="cellIs" dxfId="0" priority="5166" operator="equal">
      <formula>"未完成"</formula>
    </cfRule>
  </conditionalFormatting>
  <conditionalFormatting sqref="AQ80">
    <cfRule type="cellIs" dxfId="1" priority="5106" operator="equal">
      <formula>"未完成"</formula>
    </cfRule>
    <cfRule type="cellIs" dxfId="0" priority="5112" operator="equal">
      <formula>"未完成"</formula>
    </cfRule>
  </conditionalFormatting>
  <conditionalFormatting sqref="AR80">
    <cfRule type="cellIs" dxfId="1" priority="5136" operator="equal">
      <formula>"未完成"</formula>
    </cfRule>
    <cfRule type="cellIs" dxfId="0" priority="5142" operator="equal">
      <formula>"未完成"</formula>
    </cfRule>
  </conditionalFormatting>
  <conditionalFormatting sqref="AS80:AT80">
    <cfRule type="cellIs" dxfId="1" priority="5172" operator="equal">
      <formula>"未完成"</formula>
    </cfRule>
    <cfRule type="cellIs" dxfId="0" priority="5178" operator="equal">
      <formula>"未完成"</formula>
    </cfRule>
  </conditionalFormatting>
  <conditionalFormatting sqref="R81">
    <cfRule type="cellIs" dxfId="0" priority="5117" operator="equal">
      <formula>"欠"</formula>
    </cfRule>
  </conditionalFormatting>
  <conditionalFormatting sqref="T81">
    <cfRule type="cellIs" dxfId="0" priority="5075" operator="equal">
      <formula>"欠"</formula>
    </cfRule>
  </conditionalFormatting>
  <conditionalFormatting sqref="AC81">
    <cfRule type="cellIs" dxfId="0" priority="5183" operator="equal">
      <formula>"未完成"</formula>
    </cfRule>
  </conditionalFormatting>
  <conditionalFormatting sqref="AG81:AH81">
    <cfRule type="cellIs" dxfId="0" priority="5195" operator="equal">
      <formula>"未完成"</formula>
    </cfRule>
    <cfRule type="cellIs" dxfId="1" priority="5189" operator="equal">
      <formula>"未完成"</formula>
    </cfRule>
  </conditionalFormatting>
  <conditionalFormatting sqref="AI81">
    <cfRule type="cellIs" dxfId="0" priority="5129" operator="equal">
      <formula>"未完成"</formula>
    </cfRule>
    <cfRule type="cellIs" dxfId="1" priority="5123" operator="equal">
      <formula>"未完成"</formula>
    </cfRule>
  </conditionalFormatting>
  <conditionalFormatting sqref="AJ81">
    <cfRule type="cellIs" dxfId="0" priority="5153" operator="equal">
      <formula>"未完成"</formula>
    </cfRule>
    <cfRule type="cellIs" dxfId="1" priority="5147" operator="equal">
      <formula>"未完成"</formula>
    </cfRule>
  </conditionalFormatting>
  <conditionalFormatting sqref="AK81">
    <cfRule type="cellIs" dxfId="0" priority="5099" operator="equal">
      <formula>"未完成"</formula>
    </cfRule>
    <cfRule type="cellIs" dxfId="1" priority="5093" operator="equal">
      <formula>"未完成"</formula>
    </cfRule>
  </conditionalFormatting>
  <conditionalFormatting sqref="AN81">
    <cfRule type="cellIs" dxfId="1" priority="5081" operator="equal">
      <formula>"未完成"</formula>
    </cfRule>
    <cfRule type="cellIs" dxfId="0" priority="5087" operator="equal">
      <formula>"未完成"</formula>
    </cfRule>
  </conditionalFormatting>
  <conditionalFormatting sqref="AO81">
    <cfRule type="cellIs" dxfId="1" priority="5159" operator="equal">
      <formula>"未完成"</formula>
    </cfRule>
    <cfRule type="cellIs" dxfId="0" priority="5165" operator="equal">
      <formula>"未完成"</formula>
    </cfRule>
  </conditionalFormatting>
  <conditionalFormatting sqref="AQ81">
    <cfRule type="cellIs" dxfId="1" priority="5105" operator="equal">
      <formula>"未完成"</formula>
    </cfRule>
    <cfRule type="cellIs" dxfId="0" priority="5111" operator="equal">
      <formula>"未完成"</formula>
    </cfRule>
  </conditionalFormatting>
  <conditionalFormatting sqref="AR81">
    <cfRule type="cellIs" dxfId="1" priority="5135" operator="equal">
      <formula>"未完成"</formula>
    </cfRule>
    <cfRule type="cellIs" dxfId="0" priority="5141" operator="equal">
      <formula>"未完成"</formula>
    </cfRule>
  </conditionalFormatting>
  <conditionalFormatting sqref="AS81:AT81">
    <cfRule type="cellIs" dxfId="1" priority="5171" operator="equal">
      <formula>"未完成"</formula>
    </cfRule>
    <cfRule type="cellIs" dxfId="0" priority="5177" operator="equal">
      <formula>"未完成"</formula>
    </cfRule>
  </conditionalFormatting>
  <conditionalFormatting sqref="R82">
    <cfRule type="cellIs" dxfId="0" priority="5116" operator="equal">
      <formula>"欠"</formula>
    </cfRule>
  </conditionalFormatting>
  <conditionalFormatting sqref="T82">
    <cfRule type="cellIs" dxfId="0" priority="5074" operator="equal">
      <formula>"欠"</formula>
    </cfRule>
  </conditionalFormatting>
  <conditionalFormatting sqref="AC82">
    <cfRule type="cellIs" dxfId="0" priority="5182" operator="equal">
      <formula>"未完成"</formula>
    </cfRule>
  </conditionalFormatting>
  <conditionalFormatting sqref="AG82:AH82">
    <cfRule type="cellIs" dxfId="0" priority="5194" operator="equal">
      <formula>"未完成"</formula>
    </cfRule>
    <cfRule type="cellIs" dxfId="1" priority="5188" operator="equal">
      <formula>"未完成"</formula>
    </cfRule>
  </conditionalFormatting>
  <conditionalFormatting sqref="AI82">
    <cfRule type="cellIs" dxfId="0" priority="5128" operator="equal">
      <formula>"未完成"</formula>
    </cfRule>
    <cfRule type="cellIs" dxfId="1" priority="5122" operator="equal">
      <formula>"未完成"</formula>
    </cfRule>
  </conditionalFormatting>
  <conditionalFormatting sqref="AJ82">
    <cfRule type="cellIs" dxfId="0" priority="5152" operator="equal">
      <formula>"未完成"</formula>
    </cfRule>
    <cfRule type="cellIs" dxfId="1" priority="5146" operator="equal">
      <formula>"未完成"</formula>
    </cfRule>
  </conditionalFormatting>
  <conditionalFormatting sqref="AK82">
    <cfRule type="cellIs" dxfId="0" priority="5098" operator="equal">
      <formula>"未完成"</formula>
    </cfRule>
    <cfRule type="cellIs" dxfId="1" priority="5092" operator="equal">
      <formula>"未完成"</formula>
    </cfRule>
  </conditionalFormatting>
  <conditionalFormatting sqref="AN82">
    <cfRule type="cellIs" dxfId="1" priority="5080" operator="equal">
      <formula>"未完成"</formula>
    </cfRule>
    <cfRule type="cellIs" dxfId="0" priority="5086" operator="equal">
      <formula>"未完成"</formula>
    </cfRule>
  </conditionalFormatting>
  <conditionalFormatting sqref="AO82">
    <cfRule type="cellIs" dxfId="1" priority="5158" operator="equal">
      <formula>"未完成"</formula>
    </cfRule>
    <cfRule type="cellIs" dxfId="0" priority="5164" operator="equal">
      <formula>"未完成"</formula>
    </cfRule>
  </conditionalFormatting>
  <conditionalFormatting sqref="AQ82">
    <cfRule type="cellIs" dxfId="1" priority="5104" operator="equal">
      <formula>"未完成"</formula>
    </cfRule>
    <cfRule type="cellIs" dxfId="0" priority="5110" operator="equal">
      <formula>"未完成"</formula>
    </cfRule>
  </conditionalFormatting>
  <conditionalFormatting sqref="AR82">
    <cfRule type="cellIs" dxfId="1" priority="5134" operator="equal">
      <formula>"未完成"</formula>
    </cfRule>
    <cfRule type="cellIs" dxfId="0" priority="5140" operator="equal">
      <formula>"未完成"</formula>
    </cfRule>
  </conditionalFormatting>
  <conditionalFormatting sqref="AS82:AT82">
    <cfRule type="cellIs" dxfId="1" priority="5170" operator="equal">
      <formula>"未完成"</formula>
    </cfRule>
    <cfRule type="cellIs" dxfId="0" priority="5176" operator="equal">
      <formula>"未完成"</formula>
    </cfRule>
  </conditionalFormatting>
  <conditionalFormatting sqref="R83">
    <cfRule type="cellIs" dxfId="0" priority="5115" operator="equal">
      <formula>"欠"</formula>
    </cfRule>
  </conditionalFormatting>
  <conditionalFormatting sqref="T83">
    <cfRule type="cellIs" dxfId="0" priority="5073" operator="equal">
      <formula>"欠"</formula>
    </cfRule>
  </conditionalFormatting>
  <conditionalFormatting sqref="AC83">
    <cfRule type="cellIs" dxfId="0" priority="5181" operator="equal">
      <formula>"未完成"</formula>
    </cfRule>
  </conditionalFormatting>
  <conditionalFormatting sqref="AG83:AH83">
    <cfRule type="cellIs" dxfId="0" priority="5193" operator="equal">
      <formula>"未完成"</formula>
    </cfRule>
    <cfRule type="cellIs" dxfId="1" priority="5187" operator="equal">
      <formula>"未完成"</formula>
    </cfRule>
  </conditionalFormatting>
  <conditionalFormatting sqref="AI83">
    <cfRule type="cellIs" dxfId="0" priority="5127" operator="equal">
      <formula>"未完成"</formula>
    </cfRule>
    <cfRule type="cellIs" dxfId="1" priority="5121" operator="equal">
      <formula>"未完成"</formula>
    </cfRule>
  </conditionalFormatting>
  <conditionalFormatting sqref="AJ83">
    <cfRule type="cellIs" dxfId="0" priority="5151" operator="equal">
      <formula>"未完成"</formula>
    </cfRule>
    <cfRule type="cellIs" dxfId="1" priority="5145" operator="equal">
      <formula>"未完成"</formula>
    </cfRule>
  </conditionalFormatting>
  <conditionalFormatting sqref="AK83">
    <cfRule type="cellIs" dxfId="0" priority="5097" operator="equal">
      <formula>"未完成"</formula>
    </cfRule>
    <cfRule type="cellIs" dxfId="1" priority="5091" operator="equal">
      <formula>"未完成"</formula>
    </cfRule>
  </conditionalFormatting>
  <conditionalFormatting sqref="AN83">
    <cfRule type="cellIs" dxfId="1" priority="5079" operator="equal">
      <formula>"未完成"</formula>
    </cfRule>
    <cfRule type="cellIs" dxfId="0" priority="5085" operator="equal">
      <formula>"未完成"</formula>
    </cfRule>
  </conditionalFormatting>
  <conditionalFormatting sqref="AO83">
    <cfRule type="cellIs" dxfId="1" priority="5157" operator="equal">
      <formula>"未完成"</formula>
    </cfRule>
    <cfRule type="cellIs" dxfId="0" priority="5163" operator="equal">
      <formula>"未完成"</formula>
    </cfRule>
  </conditionalFormatting>
  <conditionalFormatting sqref="AQ83">
    <cfRule type="cellIs" dxfId="1" priority="5103" operator="equal">
      <formula>"未完成"</formula>
    </cfRule>
    <cfRule type="cellIs" dxfId="0" priority="5109" operator="equal">
      <formula>"未完成"</formula>
    </cfRule>
  </conditionalFormatting>
  <conditionalFormatting sqref="AR83">
    <cfRule type="cellIs" dxfId="1" priority="5133" operator="equal">
      <formula>"未完成"</formula>
    </cfRule>
    <cfRule type="cellIs" dxfId="0" priority="5139" operator="equal">
      <formula>"未完成"</formula>
    </cfRule>
  </conditionalFormatting>
  <conditionalFormatting sqref="AS83:AT83">
    <cfRule type="cellIs" dxfId="1" priority="5169" operator="equal">
      <formula>"未完成"</formula>
    </cfRule>
    <cfRule type="cellIs" dxfId="0" priority="5175" operator="equal">
      <formula>"未完成"</formula>
    </cfRule>
  </conditionalFormatting>
  <conditionalFormatting sqref="R84">
    <cfRule type="cellIs" dxfId="0" priority="5059" operator="equal">
      <formula>"欠"</formula>
    </cfRule>
  </conditionalFormatting>
  <conditionalFormatting sqref="T84">
    <cfRule type="cellIs" dxfId="0" priority="5052" operator="equal">
      <formula>"欠"</formula>
    </cfRule>
  </conditionalFormatting>
  <conditionalFormatting sqref="AC84">
    <cfRule type="cellIs" dxfId="0" priority="5070" operator="equal">
      <formula>"未完成"</formula>
    </cfRule>
  </conditionalFormatting>
  <conditionalFormatting sqref="AG84:AH84">
    <cfRule type="cellIs" dxfId="0" priority="5072" operator="equal">
      <formula>"未完成"</formula>
    </cfRule>
    <cfRule type="cellIs" dxfId="1" priority="5071" operator="equal">
      <formula>"未完成"</formula>
    </cfRule>
  </conditionalFormatting>
  <conditionalFormatting sqref="AI84">
    <cfRule type="cellIs" dxfId="1" priority="5060" operator="equal">
      <formula>"未完成"</formula>
    </cfRule>
    <cfRule type="cellIs" dxfId="0" priority="5061" operator="equal">
      <formula>"未完成"</formula>
    </cfRule>
  </conditionalFormatting>
  <conditionalFormatting sqref="AJ84">
    <cfRule type="cellIs" dxfId="0" priority="5065" operator="equal">
      <formula>"未完成"</formula>
    </cfRule>
    <cfRule type="cellIs" dxfId="1" priority="5064" operator="equal">
      <formula>"未完成"</formula>
    </cfRule>
  </conditionalFormatting>
  <conditionalFormatting sqref="AK84">
    <cfRule type="cellIs" dxfId="0" priority="5056" operator="equal">
      <formula>"未完成"</formula>
    </cfRule>
    <cfRule type="cellIs" dxfId="1" priority="5055" operator="equal">
      <formula>"未完成"</formula>
    </cfRule>
  </conditionalFormatting>
  <conditionalFormatting sqref="AN84">
    <cfRule type="cellIs" dxfId="1" priority="5053" operator="equal">
      <formula>"未完成"</formula>
    </cfRule>
    <cfRule type="cellIs" dxfId="0" priority="5054" operator="equal">
      <formula>"未完成"</formula>
    </cfRule>
  </conditionalFormatting>
  <conditionalFormatting sqref="AO84">
    <cfRule type="cellIs" dxfId="1" priority="5066" operator="equal">
      <formula>"未完成"</formula>
    </cfRule>
    <cfRule type="cellIs" dxfId="0" priority="5067" operator="equal">
      <formula>"未完成"</formula>
    </cfRule>
  </conditionalFormatting>
  <conditionalFormatting sqref="AQ84">
    <cfRule type="cellIs" dxfId="1" priority="5057" operator="equal">
      <formula>"未完成"</formula>
    </cfRule>
    <cfRule type="cellIs" dxfId="0" priority="5058" operator="equal">
      <formula>"未完成"</formula>
    </cfRule>
  </conditionalFormatting>
  <conditionalFormatting sqref="AR84">
    <cfRule type="cellIs" dxfId="1" priority="5062" operator="equal">
      <formula>"未完成"</formula>
    </cfRule>
    <cfRule type="cellIs" dxfId="0" priority="5063" operator="equal">
      <formula>"未完成"</formula>
    </cfRule>
  </conditionalFormatting>
  <conditionalFormatting sqref="AS84:AT84">
    <cfRule type="cellIs" dxfId="1" priority="5068" operator="equal">
      <formula>"未完成"</formula>
    </cfRule>
    <cfRule type="cellIs" dxfId="0" priority="5069" operator="equal">
      <formula>"未完成"</formula>
    </cfRule>
  </conditionalFormatting>
  <conditionalFormatting sqref="R85">
    <cfRule type="cellIs" dxfId="0" priority="5017" operator="equal">
      <formula>"欠"</formula>
    </cfRule>
  </conditionalFormatting>
  <conditionalFormatting sqref="T85">
    <cfRule type="cellIs" dxfId="0" priority="5010" operator="equal">
      <formula>"欠"</formula>
    </cfRule>
  </conditionalFormatting>
  <conditionalFormatting sqref="AC85">
    <cfRule type="cellIs" dxfId="0" priority="5028" operator="equal">
      <formula>"未完成"</formula>
    </cfRule>
  </conditionalFormatting>
  <conditionalFormatting sqref="AG85:AH85">
    <cfRule type="cellIs" dxfId="0" priority="5030" operator="equal">
      <formula>"未完成"</formula>
    </cfRule>
    <cfRule type="cellIs" dxfId="1" priority="5029" operator="equal">
      <formula>"未完成"</formula>
    </cfRule>
  </conditionalFormatting>
  <conditionalFormatting sqref="AI85">
    <cfRule type="cellIs" dxfId="0" priority="5019" operator="equal">
      <formula>"未完成"</formula>
    </cfRule>
    <cfRule type="cellIs" dxfId="1" priority="5018" operator="equal">
      <formula>"未完成"</formula>
    </cfRule>
  </conditionalFormatting>
  <conditionalFormatting sqref="AJ85">
    <cfRule type="cellIs" dxfId="0" priority="5023" operator="equal">
      <formula>"未完成"</formula>
    </cfRule>
    <cfRule type="cellIs" dxfId="1" priority="5022" operator="equal">
      <formula>"未完成"</formula>
    </cfRule>
  </conditionalFormatting>
  <conditionalFormatting sqref="AK85">
    <cfRule type="cellIs" dxfId="0" priority="5014" operator="equal">
      <formula>"未完成"</formula>
    </cfRule>
    <cfRule type="cellIs" dxfId="1" priority="5013" operator="equal">
      <formula>"未完成"</formula>
    </cfRule>
  </conditionalFormatting>
  <conditionalFormatting sqref="AN85">
    <cfRule type="cellIs" dxfId="1" priority="5011" operator="equal">
      <formula>"未完成"</formula>
    </cfRule>
    <cfRule type="cellIs" dxfId="0" priority="5012" operator="equal">
      <formula>"未完成"</formula>
    </cfRule>
  </conditionalFormatting>
  <conditionalFormatting sqref="AO85">
    <cfRule type="cellIs" dxfId="1" priority="5024" operator="equal">
      <formula>"未完成"</formula>
    </cfRule>
    <cfRule type="cellIs" dxfId="0" priority="5025" operator="equal">
      <formula>"未完成"</formula>
    </cfRule>
  </conditionalFormatting>
  <conditionalFormatting sqref="AQ85">
    <cfRule type="cellIs" dxfId="1" priority="5015" operator="equal">
      <formula>"未完成"</formula>
    </cfRule>
    <cfRule type="cellIs" dxfId="0" priority="5016" operator="equal">
      <formula>"未完成"</formula>
    </cfRule>
  </conditionalFormatting>
  <conditionalFormatting sqref="AR85">
    <cfRule type="cellIs" dxfId="1" priority="5020" operator="equal">
      <formula>"未完成"</formula>
    </cfRule>
    <cfRule type="cellIs" dxfId="0" priority="5021" operator="equal">
      <formula>"未完成"</formula>
    </cfRule>
  </conditionalFormatting>
  <conditionalFormatting sqref="AS85:AT85">
    <cfRule type="cellIs" dxfId="1" priority="5026" operator="equal">
      <formula>"未完成"</formula>
    </cfRule>
    <cfRule type="cellIs" dxfId="0" priority="5027" operator="equal">
      <formula>"未完成"</formula>
    </cfRule>
  </conditionalFormatting>
  <conditionalFormatting sqref="R86">
    <cfRule type="cellIs" dxfId="0" priority="4892" operator="equal">
      <formula>"欠"</formula>
    </cfRule>
  </conditionalFormatting>
  <conditionalFormatting sqref="T86">
    <cfRule type="cellIs" dxfId="0" priority="4829" operator="equal">
      <formula>"欠"</formula>
    </cfRule>
  </conditionalFormatting>
  <conditionalFormatting sqref="AC86">
    <cfRule type="cellIs" dxfId="0" priority="4991" operator="equal">
      <formula>"未完成"</formula>
    </cfRule>
  </conditionalFormatting>
  <conditionalFormatting sqref="AG86:AH86">
    <cfRule type="cellIs" dxfId="0" priority="5009" operator="equal">
      <formula>"未完成"</formula>
    </cfRule>
    <cfRule type="cellIs" dxfId="1" priority="5000" operator="equal">
      <formula>"未完成"</formula>
    </cfRule>
  </conditionalFormatting>
  <conditionalFormatting sqref="AI86">
    <cfRule type="cellIs" dxfId="0" priority="4910" operator="equal">
      <formula>"未完成"</formula>
    </cfRule>
    <cfRule type="cellIs" dxfId="1" priority="4901" operator="equal">
      <formula>"未完成"</formula>
    </cfRule>
  </conditionalFormatting>
  <conditionalFormatting sqref="AJ86">
    <cfRule type="cellIs" dxfId="0" priority="4946" operator="equal">
      <formula>"未完成"</formula>
    </cfRule>
    <cfRule type="cellIs" dxfId="1" priority="4937" operator="equal">
      <formula>"未完成"</formula>
    </cfRule>
  </conditionalFormatting>
  <conditionalFormatting sqref="AK86">
    <cfRule type="cellIs" dxfId="0" priority="4865" operator="equal">
      <formula>"未完成"</formula>
    </cfRule>
    <cfRule type="cellIs" dxfId="1" priority="4856" operator="equal">
      <formula>"未完成"</formula>
    </cfRule>
  </conditionalFormatting>
  <conditionalFormatting sqref="AN86">
    <cfRule type="cellIs" dxfId="1" priority="4838" operator="equal">
      <formula>"未完成"</formula>
    </cfRule>
    <cfRule type="cellIs" dxfId="0" priority="4847" operator="equal">
      <formula>"未完成"</formula>
    </cfRule>
  </conditionalFormatting>
  <conditionalFormatting sqref="AO86">
    <cfRule type="cellIs" dxfId="1" priority="4955" operator="equal">
      <formula>"未完成"</formula>
    </cfRule>
    <cfRule type="cellIs" dxfId="0" priority="4964" operator="equal">
      <formula>"未完成"</formula>
    </cfRule>
  </conditionalFormatting>
  <conditionalFormatting sqref="AQ86">
    <cfRule type="cellIs" dxfId="1" priority="4874" operator="equal">
      <formula>"未完成"</formula>
    </cfRule>
    <cfRule type="cellIs" dxfId="0" priority="4883" operator="equal">
      <formula>"未完成"</formula>
    </cfRule>
  </conditionalFormatting>
  <conditionalFormatting sqref="AR86">
    <cfRule type="cellIs" dxfId="1" priority="4919" operator="equal">
      <formula>"未完成"</formula>
    </cfRule>
    <cfRule type="cellIs" dxfId="0" priority="4928" operator="equal">
      <formula>"未完成"</formula>
    </cfRule>
  </conditionalFormatting>
  <conditionalFormatting sqref="AS86:AT86">
    <cfRule type="cellIs" dxfId="1" priority="4973" operator="equal">
      <formula>"未完成"</formula>
    </cfRule>
    <cfRule type="cellIs" dxfId="0" priority="4982" operator="equal">
      <formula>"未完成"</formula>
    </cfRule>
  </conditionalFormatting>
  <conditionalFormatting sqref="R87">
    <cfRule type="cellIs" dxfId="0" priority="4891" operator="equal">
      <formula>"欠"</formula>
    </cfRule>
  </conditionalFormatting>
  <conditionalFormatting sqref="T87">
    <cfRule type="cellIs" dxfId="0" priority="4828" operator="equal">
      <formula>"欠"</formula>
    </cfRule>
  </conditionalFormatting>
  <conditionalFormatting sqref="AC87">
    <cfRule type="cellIs" dxfId="0" priority="4990" operator="equal">
      <formula>"未完成"</formula>
    </cfRule>
  </conditionalFormatting>
  <conditionalFormatting sqref="AG87:AH87">
    <cfRule type="cellIs" dxfId="0" priority="5008" operator="equal">
      <formula>"未完成"</formula>
    </cfRule>
    <cfRule type="cellIs" dxfId="1" priority="4999" operator="equal">
      <formula>"未完成"</formula>
    </cfRule>
  </conditionalFormatting>
  <conditionalFormatting sqref="AI87">
    <cfRule type="cellIs" dxfId="0" priority="4909" operator="equal">
      <formula>"未完成"</formula>
    </cfRule>
    <cfRule type="cellIs" dxfId="1" priority="4900" operator="equal">
      <formula>"未完成"</formula>
    </cfRule>
  </conditionalFormatting>
  <conditionalFormatting sqref="AJ87">
    <cfRule type="cellIs" dxfId="0" priority="4945" operator="equal">
      <formula>"未完成"</formula>
    </cfRule>
    <cfRule type="cellIs" dxfId="1" priority="4936" operator="equal">
      <formula>"未完成"</formula>
    </cfRule>
  </conditionalFormatting>
  <conditionalFormatting sqref="AK87">
    <cfRule type="cellIs" dxfId="0" priority="4864" operator="equal">
      <formula>"未完成"</formula>
    </cfRule>
    <cfRule type="cellIs" dxfId="1" priority="4855" operator="equal">
      <formula>"未完成"</formula>
    </cfRule>
  </conditionalFormatting>
  <conditionalFormatting sqref="AN87">
    <cfRule type="cellIs" dxfId="1" priority="4837" operator="equal">
      <formula>"未完成"</formula>
    </cfRule>
    <cfRule type="cellIs" dxfId="0" priority="4846" operator="equal">
      <formula>"未完成"</formula>
    </cfRule>
  </conditionalFormatting>
  <conditionalFormatting sqref="AO87">
    <cfRule type="cellIs" dxfId="1" priority="4954" operator="equal">
      <formula>"未完成"</formula>
    </cfRule>
    <cfRule type="cellIs" dxfId="0" priority="4963" operator="equal">
      <formula>"未完成"</formula>
    </cfRule>
  </conditionalFormatting>
  <conditionalFormatting sqref="AQ87">
    <cfRule type="cellIs" dxfId="1" priority="4873" operator="equal">
      <formula>"未完成"</formula>
    </cfRule>
    <cfRule type="cellIs" dxfId="0" priority="4882" operator="equal">
      <formula>"未完成"</formula>
    </cfRule>
  </conditionalFormatting>
  <conditionalFormatting sqref="AR87">
    <cfRule type="cellIs" dxfId="1" priority="4918" operator="equal">
      <formula>"未完成"</formula>
    </cfRule>
    <cfRule type="cellIs" dxfId="0" priority="4927" operator="equal">
      <formula>"未完成"</formula>
    </cfRule>
  </conditionalFormatting>
  <conditionalFormatting sqref="AS87:AT87">
    <cfRule type="cellIs" dxfId="1" priority="4972" operator="equal">
      <formula>"未完成"</formula>
    </cfRule>
    <cfRule type="cellIs" dxfId="0" priority="4981" operator="equal">
      <formula>"未完成"</formula>
    </cfRule>
  </conditionalFormatting>
  <conditionalFormatting sqref="R88">
    <cfRule type="cellIs" dxfId="0" priority="4890" operator="equal">
      <formula>"欠"</formula>
    </cfRule>
  </conditionalFormatting>
  <conditionalFormatting sqref="T88">
    <cfRule type="cellIs" dxfId="0" priority="4827" operator="equal">
      <formula>"欠"</formula>
    </cfRule>
  </conditionalFormatting>
  <conditionalFormatting sqref="AC88">
    <cfRule type="cellIs" dxfId="0" priority="4989" operator="equal">
      <formula>"未完成"</formula>
    </cfRule>
  </conditionalFormatting>
  <conditionalFormatting sqref="AG88:AH88">
    <cfRule type="cellIs" dxfId="0" priority="5007" operator="equal">
      <formula>"未完成"</formula>
    </cfRule>
    <cfRule type="cellIs" dxfId="1" priority="4998" operator="equal">
      <formula>"未完成"</formula>
    </cfRule>
  </conditionalFormatting>
  <conditionalFormatting sqref="AI88">
    <cfRule type="cellIs" dxfId="0" priority="4908" operator="equal">
      <formula>"未完成"</formula>
    </cfRule>
    <cfRule type="cellIs" dxfId="1" priority="4899" operator="equal">
      <formula>"未完成"</formula>
    </cfRule>
  </conditionalFormatting>
  <conditionalFormatting sqref="AJ88">
    <cfRule type="cellIs" dxfId="0" priority="4944" operator="equal">
      <formula>"未完成"</formula>
    </cfRule>
    <cfRule type="cellIs" dxfId="1" priority="4935" operator="equal">
      <formula>"未完成"</formula>
    </cfRule>
  </conditionalFormatting>
  <conditionalFormatting sqref="AK88">
    <cfRule type="cellIs" dxfId="0" priority="4863" operator="equal">
      <formula>"未完成"</formula>
    </cfRule>
    <cfRule type="cellIs" dxfId="1" priority="4854" operator="equal">
      <formula>"未完成"</formula>
    </cfRule>
  </conditionalFormatting>
  <conditionalFormatting sqref="AN88">
    <cfRule type="cellIs" dxfId="1" priority="4836" operator="equal">
      <formula>"未完成"</formula>
    </cfRule>
    <cfRule type="cellIs" dxfId="0" priority="4845" operator="equal">
      <formula>"未完成"</formula>
    </cfRule>
  </conditionalFormatting>
  <conditionalFormatting sqref="AO88">
    <cfRule type="cellIs" dxfId="1" priority="4953" operator="equal">
      <formula>"未完成"</formula>
    </cfRule>
    <cfRule type="cellIs" dxfId="0" priority="4962" operator="equal">
      <formula>"未完成"</formula>
    </cfRule>
  </conditionalFormatting>
  <conditionalFormatting sqref="AQ88">
    <cfRule type="cellIs" dxfId="1" priority="4872" operator="equal">
      <formula>"未完成"</formula>
    </cfRule>
    <cfRule type="cellIs" dxfId="0" priority="4881" operator="equal">
      <formula>"未完成"</formula>
    </cfRule>
  </conditionalFormatting>
  <conditionalFormatting sqref="AR88">
    <cfRule type="cellIs" dxfId="1" priority="4917" operator="equal">
      <formula>"未完成"</formula>
    </cfRule>
    <cfRule type="cellIs" dxfId="0" priority="4926" operator="equal">
      <formula>"未完成"</formula>
    </cfRule>
  </conditionalFormatting>
  <conditionalFormatting sqref="AS88:AT88">
    <cfRule type="cellIs" dxfId="1" priority="4971" operator="equal">
      <formula>"未完成"</formula>
    </cfRule>
    <cfRule type="cellIs" dxfId="0" priority="4980" operator="equal">
      <formula>"未完成"</formula>
    </cfRule>
  </conditionalFormatting>
  <conditionalFormatting sqref="R89">
    <cfRule type="cellIs" dxfId="0" priority="4889" operator="equal">
      <formula>"欠"</formula>
    </cfRule>
  </conditionalFormatting>
  <conditionalFormatting sqref="T89">
    <cfRule type="cellIs" dxfId="0" priority="4826" operator="equal">
      <formula>"欠"</formula>
    </cfRule>
  </conditionalFormatting>
  <conditionalFormatting sqref="AC89">
    <cfRule type="cellIs" dxfId="0" priority="4988" operator="equal">
      <formula>"未完成"</formula>
    </cfRule>
  </conditionalFormatting>
  <conditionalFormatting sqref="AG89:AH89">
    <cfRule type="cellIs" dxfId="0" priority="5006" operator="equal">
      <formula>"未完成"</formula>
    </cfRule>
    <cfRule type="cellIs" dxfId="1" priority="4997" operator="equal">
      <formula>"未完成"</formula>
    </cfRule>
  </conditionalFormatting>
  <conditionalFormatting sqref="AI89">
    <cfRule type="cellIs" dxfId="0" priority="4907" operator="equal">
      <formula>"未完成"</formula>
    </cfRule>
    <cfRule type="cellIs" dxfId="1" priority="4898" operator="equal">
      <formula>"未完成"</formula>
    </cfRule>
  </conditionalFormatting>
  <conditionalFormatting sqref="AJ89">
    <cfRule type="cellIs" dxfId="0" priority="4943" operator="equal">
      <formula>"未完成"</formula>
    </cfRule>
    <cfRule type="cellIs" dxfId="1" priority="4934" operator="equal">
      <formula>"未完成"</formula>
    </cfRule>
  </conditionalFormatting>
  <conditionalFormatting sqref="AK89">
    <cfRule type="cellIs" dxfId="0" priority="4862" operator="equal">
      <formula>"未完成"</formula>
    </cfRule>
    <cfRule type="cellIs" dxfId="1" priority="4853" operator="equal">
      <formula>"未完成"</formula>
    </cfRule>
  </conditionalFormatting>
  <conditionalFormatting sqref="AN89">
    <cfRule type="cellIs" dxfId="1" priority="4835" operator="equal">
      <formula>"未完成"</formula>
    </cfRule>
    <cfRule type="cellIs" dxfId="0" priority="4844" operator="equal">
      <formula>"未完成"</formula>
    </cfRule>
  </conditionalFormatting>
  <conditionalFormatting sqref="AO89">
    <cfRule type="cellIs" dxfId="1" priority="4952" operator="equal">
      <formula>"未完成"</formula>
    </cfRule>
    <cfRule type="cellIs" dxfId="0" priority="4961" operator="equal">
      <formula>"未完成"</formula>
    </cfRule>
  </conditionalFormatting>
  <conditionalFormatting sqref="AQ89">
    <cfRule type="cellIs" dxfId="1" priority="4871" operator="equal">
      <formula>"未完成"</formula>
    </cfRule>
    <cfRule type="cellIs" dxfId="0" priority="4880" operator="equal">
      <formula>"未完成"</formula>
    </cfRule>
  </conditionalFormatting>
  <conditionalFormatting sqref="AR89">
    <cfRule type="cellIs" dxfId="1" priority="4916" operator="equal">
      <formula>"未完成"</formula>
    </cfRule>
    <cfRule type="cellIs" dxfId="0" priority="4925" operator="equal">
      <formula>"未完成"</formula>
    </cfRule>
  </conditionalFormatting>
  <conditionalFormatting sqref="AS89:AT89">
    <cfRule type="cellIs" dxfId="1" priority="4970" operator="equal">
      <formula>"未完成"</formula>
    </cfRule>
    <cfRule type="cellIs" dxfId="0" priority="4979" operator="equal">
      <formula>"未完成"</formula>
    </cfRule>
  </conditionalFormatting>
  <conditionalFormatting sqref="R90">
    <cfRule type="cellIs" dxfId="0" priority="4888" operator="equal">
      <formula>"欠"</formula>
    </cfRule>
  </conditionalFormatting>
  <conditionalFormatting sqref="T90">
    <cfRule type="cellIs" dxfId="0" priority="4825" operator="equal">
      <formula>"欠"</formula>
    </cfRule>
  </conditionalFormatting>
  <conditionalFormatting sqref="AC90">
    <cfRule type="cellIs" dxfId="0" priority="4987" operator="equal">
      <formula>"未完成"</formula>
    </cfRule>
  </conditionalFormatting>
  <conditionalFormatting sqref="AG90:AH90">
    <cfRule type="cellIs" dxfId="0" priority="5005" operator="equal">
      <formula>"未完成"</formula>
    </cfRule>
    <cfRule type="cellIs" dxfId="1" priority="4996" operator="equal">
      <formula>"未完成"</formula>
    </cfRule>
  </conditionalFormatting>
  <conditionalFormatting sqref="AI90">
    <cfRule type="cellIs" dxfId="0" priority="4906" operator="equal">
      <formula>"未完成"</formula>
    </cfRule>
    <cfRule type="cellIs" dxfId="1" priority="4897" operator="equal">
      <formula>"未完成"</formula>
    </cfRule>
  </conditionalFormatting>
  <conditionalFormatting sqref="AJ90">
    <cfRule type="cellIs" dxfId="0" priority="4942" operator="equal">
      <formula>"未完成"</formula>
    </cfRule>
    <cfRule type="cellIs" dxfId="1" priority="4933" operator="equal">
      <formula>"未完成"</formula>
    </cfRule>
  </conditionalFormatting>
  <conditionalFormatting sqref="AK90">
    <cfRule type="cellIs" dxfId="0" priority="4861" operator="equal">
      <formula>"未完成"</formula>
    </cfRule>
    <cfRule type="cellIs" dxfId="1" priority="4852" operator="equal">
      <formula>"未完成"</formula>
    </cfRule>
  </conditionalFormatting>
  <conditionalFormatting sqref="AN90">
    <cfRule type="cellIs" dxfId="1" priority="4834" operator="equal">
      <formula>"未完成"</formula>
    </cfRule>
    <cfRule type="cellIs" dxfId="0" priority="4843" operator="equal">
      <formula>"未完成"</formula>
    </cfRule>
  </conditionalFormatting>
  <conditionalFormatting sqref="AO90">
    <cfRule type="cellIs" dxfId="1" priority="4951" operator="equal">
      <formula>"未完成"</formula>
    </cfRule>
    <cfRule type="cellIs" dxfId="0" priority="4960" operator="equal">
      <formula>"未完成"</formula>
    </cfRule>
  </conditionalFormatting>
  <conditionalFormatting sqref="AQ90">
    <cfRule type="cellIs" dxfId="1" priority="4870" operator="equal">
      <formula>"未完成"</formula>
    </cfRule>
    <cfRule type="cellIs" dxfId="0" priority="4879" operator="equal">
      <formula>"未完成"</formula>
    </cfRule>
  </conditionalFormatting>
  <conditionalFormatting sqref="AR90">
    <cfRule type="cellIs" dxfId="1" priority="4915" operator="equal">
      <formula>"未完成"</formula>
    </cfRule>
    <cfRule type="cellIs" dxfId="0" priority="4924" operator="equal">
      <formula>"未完成"</formula>
    </cfRule>
  </conditionalFormatting>
  <conditionalFormatting sqref="AS90:AT90">
    <cfRule type="cellIs" dxfId="1" priority="4969" operator="equal">
      <formula>"未完成"</formula>
    </cfRule>
    <cfRule type="cellIs" dxfId="0" priority="4978" operator="equal">
      <formula>"未完成"</formula>
    </cfRule>
  </conditionalFormatting>
  <conditionalFormatting sqref="R91">
    <cfRule type="cellIs" dxfId="0" priority="4887" operator="equal">
      <formula>"欠"</formula>
    </cfRule>
  </conditionalFormatting>
  <conditionalFormatting sqref="T91">
    <cfRule type="cellIs" dxfId="0" priority="4824" operator="equal">
      <formula>"欠"</formula>
    </cfRule>
  </conditionalFormatting>
  <conditionalFormatting sqref="AC91">
    <cfRule type="cellIs" dxfId="0" priority="4986" operator="equal">
      <formula>"未完成"</formula>
    </cfRule>
  </conditionalFormatting>
  <conditionalFormatting sqref="AG91:AH91">
    <cfRule type="cellIs" dxfId="0" priority="5004" operator="equal">
      <formula>"未完成"</formula>
    </cfRule>
    <cfRule type="cellIs" dxfId="1" priority="4995" operator="equal">
      <formula>"未完成"</formula>
    </cfRule>
  </conditionalFormatting>
  <conditionalFormatting sqref="AI91">
    <cfRule type="cellIs" dxfId="0" priority="4905" operator="equal">
      <formula>"未完成"</formula>
    </cfRule>
    <cfRule type="cellIs" dxfId="1" priority="4896" operator="equal">
      <formula>"未完成"</formula>
    </cfRule>
  </conditionalFormatting>
  <conditionalFormatting sqref="AJ91">
    <cfRule type="cellIs" dxfId="0" priority="4941" operator="equal">
      <formula>"未完成"</formula>
    </cfRule>
    <cfRule type="cellIs" dxfId="1" priority="4932" operator="equal">
      <formula>"未完成"</formula>
    </cfRule>
  </conditionalFormatting>
  <conditionalFormatting sqref="AK91">
    <cfRule type="cellIs" dxfId="0" priority="4860" operator="equal">
      <formula>"未完成"</formula>
    </cfRule>
    <cfRule type="cellIs" dxfId="1" priority="4851" operator="equal">
      <formula>"未完成"</formula>
    </cfRule>
  </conditionalFormatting>
  <conditionalFormatting sqref="AN91">
    <cfRule type="cellIs" dxfId="1" priority="4833" operator="equal">
      <formula>"未完成"</formula>
    </cfRule>
    <cfRule type="cellIs" dxfId="0" priority="4842" operator="equal">
      <formula>"未完成"</formula>
    </cfRule>
  </conditionalFormatting>
  <conditionalFormatting sqref="AO91">
    <cfRule type="cellIs" dxfId="1" priority="4950" operator="equal">
      <formula>"未完成"</formula>
    </cfRule>
    <cfRule type="cellIs" dxfId="0" priority="4959" operator="equal">
      <formula>"未完成"</formula>
    </cfRule>
  </conditionalFormatting>
  <conditionalFormatting sqref="AQ91">
    <cfRule type="cellIs" dxfId="1" priority="4869" operator="equal">
      <formula>"未完成"</formula>
    </cfRule>
    <cfRule type="cellIs" dxfId="0" priority="4878" operator="equal">
      <formula>"未完成"</formula>
    </cfRule>
  </conditionalFormatting>
  <conditionalFormatting sqref="AR91">
    <cfRule type="cellIs" dxfId="1" priority="4914" operator="equal">
      <formula>"未完成"</formula>
    </cfRule>
    <cfRule type="cellIs" dxfId="0" priority="4923" operator="equal">
      <formula>"未完成"</formula>
    </cfRule>
  </conditionalFormatting>
  <conditionalFormatting sqref="AS91:AT91">
    <cfRule type="cellIs" dxfId="1" priority="4968" operator="equal">
      <formula>"未完成"</formula>
    </cfRule>
    <cfRule type="cellIs" dxfId="0" priority="4977" operator="equal">
      <formula>"未完成"</formula>
    </cfRule>
  </conditionalFormatting>
  <conditionalFormatting sqref="R92">
    <cfRule type="cellIs" dxfId="0" priority="4886" operator="equal">
      <formula>"欠"</formula>
    </cfRule>
  </conditionalFormatting>
  <conditionalFormatting sqref="T92">
    <cfRule type="cellIs" dxfId="0" priority="4823" operator="equal">
      <formula>"欠"</formula>
    </cfRule>
  </conditionalFormatting>
  <conditionalFormatting sqref="AC92">
    <cfRule type="cellIs" dxfId="0" priority="4985" operator="equal">
      <formula>"未完成"</formula>
    </cfRule>
  </conditionalFormatting>
  <conditionalFormatting sqref="AG92:AH92">
    <cfRule type="cellIs" dxfId="0" priority="5003" operator="equal">
      <formula>"未完成"</formula>
    </cfRule>
    <cfRule type="cellIs" dxfId="1" priority="4994" operator="equal">
      <formula>"未完成"</formula>
    </cfRule>
  </conditionalFormatting>
  <conditionalFormatting sqref="AI92">
    <cfRule type="cellIs" dxfId="0" priority="4904" operator="equal">
      <formula>"未完成"</formula>
    </cfRule>
    <cfRule type="cellIs" dxfId="1" priority="4895" operator="equal">
      <formula>"未完成"</formula>
    </cfRule>
  </conditionalFormatting>
  <conditionalFormatting sqref="AJ92">
    <cfRule type="cellIs" dxfId="0" priority="4940" operator="equal">
      <formula>"未完成"</formula>
    </cfRule>
    <cfRule type="cellIs" dxfId="1" priority="4931" operator="equal">
      <formula>"未完成"</formula>
    </cfRule>
  </conditionalFormatting>
  <conditionalFormatting sqref="AK92">
    <cfRule type="cellIs" dxfId="0" priority="4859" operator="equal">
      <formula>"未完成"</formula>
    </cfRule>
    <cfRule type="cellIs" dxfId="1" priority="4850" operator="equal">
      <formula>"未完成"</formula>
    </cfRule>
  </conditionalFormatting>
  <conditionalFormatting sqref="AN92">
    <cfRule type="cellIs" dxfId="1" priority="4832" operator="equal">
      <formula>"未完成"</formula>
    </cfRule>
    <cfRule type="cellIs" dxfId="0" priority="4841" operator="equal">
      <formula>"未完成"</formula>
    </cfRule>
  </conditionalFormatting>
  <conditionalFormatting sqref="AO92">
    <cfRule type="cellIs" dxfId="1" priority="4949" operator="equal">
      <formula>"未完成"</formula>
    </cfRule>
    <cfRule type="cellIs" dxfId="0" priority="4958" operator="equal">
      <formula>"未完成"</formula>
    </cfRule>
  </conditionalFormatting>
  <conditionalFormatting sqref="AQ92">
    <cfRule type="cellIs" dxfId="1" priority="4868" operator="equal">
      <formula>"未完成"</formula>
    </cfRule>
    <cfRule type="cellIs" dxfId="0" priority="4877" operator="equal">
      <formula>"未完成"</formula>
    </cfRule>
  </conditionalFormatting>
  <conditionalFormatting sqref="AR92">
    <cfRule type="cellIs" dxfId="1" priority="4913" operator="equal">
      <formula>"未完成"</formula>
    </cfRule>
    <cfRule type="cellIs" dxfId="0" priority="4922" operator="equal">
      <formula>"未完成"</formula>
    </cfRule>
  </conditionalFormatting>
  <conditionalFormatting sqref="AS92:AT92">
    <cfRule type="cellIs" dxfId="1" priority="4967" operator="equal">
      <formula>"未完成"</formula>
    </cfRule>
    <cfRule type="cellIs" dxfId="0" priority="4976" operator="equal">
      <formula>"未完成"</formula>
    </cfRule>
  </conditionalFormatting>
  <conditionalFormatting sqref="R93">
    <cfRule type="cellIs" dxfId="0" priority="4885" operator="equal">
      <formula>"欠"</formula>
    </cfRule>
  </conditionalFormatting>
  <conditionalFormatting sqref="T93">
    <cfRule type="cellIs" dxfId="0" priority="4822" operator="equal">
      <formula>"欠"</formula>
    </cfRule>
  </conditionalFormatting>
  <conditionalFormatting sqref="AC93">
    <cfRule type="cellIs" dxfId="0" priority="4984" operator="equal">
      <formula>"未完成"</formula>
    </cfRule>
  </conditionalFormatting>
  <conditionalFormatting sqref="AG93:AH93">
    <cfRule type="cellIs" dxfId="0" priority="5002" operator="equal">
      <formula>"未完成"</formula>
    </cfRule>
    <cfRule type="cellIs" dxfId="1" priority="4993" operator="equal">
      <formula>"未完成"</formula>
    </cfRule>
  </conditionalFormatting>
  <conditionalFormatting sqref="AI93">
    <cfRule type="cellIs" dxfId="0" priority="4903" operator="equal">
      <formula>"未完成"</formula>
    </cfRule>
    <cfRule type="cellIs" dxfId="1" priority="4894" operator="equal">
      <formula>"未完成"</formula>
    </cfRule>
  </conditionalFormatting>
  <conditionalFormatting sqref="AJ93">
    <cfRule type="cellIs" dxfId="0" priority="4939" operator="equal">
      <formula>"未完成"</formula>
    </cfRule>
    <cfRule type="cellIs" dxfId="1" priority="4930" operator="equal">
      <formula>"未完成"</formula>
    </cfRule>
  </conditionalFormatting>
  <conditionalFormatting sqref="AK93">
    <cfRule type="cellIs" dxfId="0" priority="4858" operator="equal">
      <formula>"未完成"</formula>
    </cfRule>
    <cfRule type="cellIs" dxfId="1" priority="4849" operator="equal">
      <formula>"未完成"</formula>
    </cfRule>
  </conditionalFormatting>
  <conditionalFormatting sqref="AN93">
    <cfRule type="cellIs" dxfId="1" priority="4831" operator="equal">
      <formula>"未完成"</formula>
    </cfRule>
    <cfRule type="cellIs" dxfId="0" priority="4840" operator="equal">
      <formula>"未完成"</formula>
    </cfRule>
  </conditionalFormatting>
  <conditionalFormatting sqref="AO93">
    <cfRule type="cellIs" dxfId="1" priority="4948" operator="equal">
      <formula>"未完成"</formula>
    </cfRule>
    <cfRule type="cellIs" dxfId="0" priority="4957" operator="equal">
      <formula>"未完成"</formula>
    </cfRule>
  </conditionalFormatting>
  <conditionalFormatting sqref="AQ93">
    <cfRule type="cellIs" dxfId="1" priority="4867" operator="equal">
      <formula>"未完成"</formula>
    </cfRule>
    <cfRule type="cellIs" dxfId="0" priority="4876" operator="equal">
      <formula>"未完成"</formula>
    </cfRule>
  </conditionalFormatting>
  <conditionalFormatting sqref="AR93">
    <cfRule type="cellIs" dxfId="1" priority="4912" operator="equal">
      <formula>"未完成"</formula>
    </cfRule>
    <cfRule type="cellIs" dxfId="0" priority="4921" operator="equal">
      <formula>"未完成"</formula>
    </cfRule>
  </conditionalFormatting>
  <conditionalFormatting sqref="AS93:AT93">
    <cfRule type="cellIs" dxfId="1" priority="4966" operator="equal">
      <formula>"未完成"</formula>
    </cfRule>
    <cfRule type="cellIs" dxfId="0" priority="4975" operator="equal">
      <formula>"未完成"</formula>
    </cfRule>
  </conditionalFormatting>
  <conditionalFormatting sqref="R94">
    <cfRule type="cellIs" dxfId="0" priority="4884" operator="equal">
      <formula>"欠"</formula>
    </cfRule>
  </conditionalFormatting>
  <conditionalFormatting sqref="T94">
    <cfRule type="cellIs" dxfId="0" priority="4821" operator="equal">
      <formula>"欠"</formula>
    </cfRule>
  </conditionalFormatting>
  <conditionalFormatting sqref="AC94">
    <cfRule type="cellIs" dxfId="0" priority="4983" operator="equal">
      <formula>"未完成"</formula>
    </cfRule>
  </conditionalFormatting>
  <conditionalFormatting sqref="AG94:AH94">
    <cfRule type="cellIs" dxfId="0" priority="5001" operator="equal">
      <formula>"未完成"</formula>
    </cfRule>
    <cfRule type="cellIs" dxfId="1" priority="4992" operator="equal">
      <formula>"未完成"</formula>
    </cfRule>
  </conditionalFormatting>
  <conditionalFormatting sqref="AI94">
    <cfRule type="cellIs" dxfId="0" priority="4902" operator="equal">
      <formula>"未完成"</formula>
    </cfRule>
    <cfRule type="cellIs" dxfId="1" priority="4893" operator="equal">
      <formula>"未完成"</formula>
    </cfRule>
  </conditionalFormatting>
  <conditionalFormatting sqref="AJ94">
    <cfRule type="cellIs" dxfId="0" priority="4938" operator="equal">
      <formula>"未完成"</formula>
    </cfRule>
    <cfRule type="cellIs" dxfId="1" priority="4929" operator="equal">
      <formula>"未完成"</formula>
    </cfRule>
  </conditionalFormatting>
  <conditionalFormatting sqref="AK94">
    <cfRule type="cellIs" dxfId="0" priority="4857" operator="equal">
      <formula>"未完成"</formula>
    </cfRule>
    <cfRule type="cellIs" dxfId="1" priority="4848" operator="equal">
      <formula>"未完成"</formula>
    </cfRule>
  </conditionalFormatting>
  <conditionalFormatting sqref="AN94">
    <cfRule type="cellIs" dxfId="1" priority="4830" operator="equal">
      <formula>"未完成"</formula>
    </cfRule>
    <cfRule type="cellIs" dxfId="0" priority="4839" operator="equal">
      <formula>"未完成"</formula>
    </cfRule>
  </conditionalFormatting>
  <conditionalFormatting sqref="AO94">
    <cfRule type="cellIs" dxfId="1" priority="4947" operator="equal">
      <formula>"未完成"</formula>
    </cfRule>
    <cfRule type="cellIs" dxfId="0" priority="4956" operator="equal">
      <formula>"未完成"</formula>
    </cfRule>
  </conditionalFormatting>
  <conditionalFormatting sqref="AQ94">
    <cfRule type="cellIs" dxfId="1" priority="4866" operator="equal">
      <formula>"未完成"</formula>
    </cfRule>
    <cfRule type="cellIs" dxfId="0" priority="4875" operator="equal">
      <formula>"未完成"</formula>
    </cfRule>
  </conditionalFormatting>
  <conditionalFormatting sqref="AR94">
    <cfRule type="cellIs" dxfId="1" priority="4911" operator="equal">
      <formula>"未完成"</formula>
    </cfRule>
    <cfRule type="cellIs" dxfId="0" priority="4920" operator="equal">
      <formula>"未完成"</formula>
    </cfRule>
  </conditionalFormatting>
  <conditionalFormatting sqref="AS94:AT94">
    <cfRule type="cellIs" dxfId="1" priority="4965" operator="equal">
      <formula>"未完成"</formula>
    </cfRule>
    <cfRule type="cellIs" dxfId="0" priority="4974" operator="equal">
      <formula>"未完成"</formula>
    </cfRule>
  </conditionalFormatting>
  <conditionalFormatting sqref="R95">
    <cfRule type="cellIs" dxfId="0" priority="4753" operator="equal">
      <formula>"欠"</formula>
    </cfRule>
  </conditionalFormatting>
  <conditionalFormatting sqref="T95">
    <cfRule type="cellIs" dxfId="0" priority="4725" operator="equal">
      <formula>"欠"</formula>
    </cfRule>
  </conditionalFormatting>
  <conditionalFormatting sqref="AC95">
    <cfRule type="cellIs" dxfId="0" priority="4797" operator="equal">
      <formula>"未完成"</formula>
    </cfRule>
  </conditionalFormatting>
  <conditionalFormatting sqref="AG95:AH95">
    <cfRule type="cellIs" dxfId="0" priority="4805" operator="equal">
      <formula>"未完成"</formula>
    </cfRule>
    <cfRule type="cellIs" dxfId="1" priority="4801" operator="equal">
      <formula>"未完成"</formula>
    </cfRule>
  </conditionalFormatting>
  <conditionalFormatting sqref="AI95">
    <cfRule type="cellIs" dxfId="0" priority="4761" operator="equal">
      <formula>"未完成"</formula>
    </cfRule>
    <cfRule type="cellIs" dxfId="1" priority="4757" operator="equal">
      <formula>"未完成"</formula>
    </cfRule>
  </conditionalFormatting>
  <conditionalFormatting sqref="AJ95">
    <cfRule type="cellIs" dxfId="0" priority="4777" operator="equal">
      <formula>"未完成"</formula>
    </cfRule>
    <cfRule type="cellIs" dxfId="1" priority="4773" operator="equal">
      <formula>"未完成"</formula>
    </cfRule>
  </conditionalFormatting>
  <conditionalFormatting sqref="AK95">
    <cfRule type="cellIs" dxfId="0" priority="4741" operator="equal">
      <formula>"未完成"</formula>
    </cfRule>
    <cfRule type="cellIs" dxfId="1" priority="4737" operator="equal">
      <formula>"未完成"</formula>
    </cfRule>
  </conditionalFormatting>
  <conditionalFormatting sqref="AN95">
    <cfRule type="cellIs" dxfId="1" priority="4729" operator="equal">
      <formula>"未完成"</formula>
    </cfRule>
    <cfRule type="cellIs" dxfId="0" priority="4733" operator="equal">
      <formula>"未完成"</formula>
    </cfRule>
  </conditionalFormatting>
  <conditionalFormatting sqref="AO95">
    <cfRule type="cellIs" dxfId="1" priority="4781" operator="equal">
      <formula>"未完成"</formula>
    </cfRule>
    <cfRule type="cellIs" dxfId="0" priority="4785" operator="equal">
      <formula>"未完成"</formula>
    </cfRule>
  </conditionalFormatting>
  <conditionalFormatting sqref="AQ95">
    <cfRule type="cellIs" dxfId="1" priority="4745" operator="equal">
      <formula>"未完成"</formula>
    </cfRule>
    <cfRule type="cellIs" dxfId="0" priority="4749" operator="equal">
      <formula>"未完成"</formula>
    </cfRule>
  </conditionalFormatting>
  <conditionalFormatting sqref="AR95">
    <cfRule type="cellIs" dxfId="1" priority="4765" operator="equal">
      <formula>"未完成"</formula>
    </cfRule>
    <cfRule type="cellIs" dxfId="0" priority="4769" operator="equal">
      <formula>"未完成"</formula>
    </cfRule>
  </conditionalFormatting>
  <conditionalFormatting sqref="AS95:AT95">
    <cfRule type="cellIs" dxfId="1" priority="4789" operator="equal">
      <formula>"未完成"</formula>
    </cfRule>
    <cfRule type="cellIs" dxfId="0" priority="4793" operator="equal">
      <formula>"未完成"</formula>
    </cfRule>
  </conditionalFormatting>
  <conditionalFormatting sqref="R96">
    <cfRule type="cellIs" dxfId="0" priority="4752" operator="equal">
      <formula>"欠"</formula>
    </cfRule>
  </conditionalFormatting>
  <conditionalFormatting sqref="AC96">
    <cfRule type="cellIs" dxfId="0" priority="4796" operator="equal">
      <formula>"未完成"</formula>
    </cfRule>
  </conditionalFormatting>
  <conditionalFormatting sqref="AG96:AH96">
    <cfRule type="cellIs" dxfId="0" priority="4804" operator="equal">
      <formula>"未完成"</formula>
    </cfRule>
    <cfRule type="cellIs" dxfId="1" priority="4800" operator="equal">
      <formula>"未完成"</formula>
    </cfRule>
  </conditionalFormatting>
  <conditionalFormatting sqref="AI96">
    <cfRule type="cellIs" dxfId="0" priority="4760" operator="equal">
      <formula>"未完成"</formula>
    </cfRule>
    <cfRule type="cellIs" dxfId="1" priority="4756" operator="equal">
      <formula>"未完成"</formula>
    </cfRule>
  </conditionalFormatting>
  <conditionalFormatting sqref="AJ96">
    <cfRule type="cellIs" dxfId="0" priority="4776" operator="equal">
      <formula>"未完成"</formula>
    </cfRule>
    <cfRule type="cellIs" dxfId="1" priority="4772" operator="equal">
      <formula>"未完成"</formula>
    </cfRule>
  </conditionalFormatting>
  <conditionalFormatting sqref="AK96">
    <cfRule type="cellIs" dxfId="0" priority="4740" operator="equal">
      <formula>"未完成"</formula>
    </cfRule>
    <cfRule type="cellIs" dxfId="1" priority="4736" operator="equal">
      <formula>"未完成"</formula>
    </cfRule>
  </conditionalFormatting>
  <conditionalFormatting sqref="AN96">
    <cfRule type="cellIs" dxfId="1" priority="4728" operator="equal">
      <formula>"未完成"</formula>
    </cfRule>
    <cfRule type="cellIs" dxfId="0" priority="4732" operator="equal">
      <formula>"未完成"</formula>
    </cfRule>
  </conditionalFormatting>
  <conditionalFormatting sqref="AO96">
    <cfRule type="cellIs" dxfId="1" priority="4780" operator="equal">
      <formula>"未完成"</formula>
    </cfRule>
    <cfRule type="cellIs" dxfId="0" priority="4784" operator="equal">
      <formula>"未完成"</formula>
    </cfRule>
  </conditionalFormatting>
  <conditionalFormatting sqref="AQ96">
    <cfRule type="cellIs" dxfId="1" priority="4744" operator="equal">
      <formula>"未完成"</formula>
    </cfRule>
    <cfRule type="cellIs" dxfId="0" priority="4748" operator="equal">
      <formula>"未完成"</formula>
    </cfRule>
  </conditionalFormatting>
  <conditionalFormatting sqref="AR96">
    <cfRule type="cellIs" dxfId="1" priority="4764" operator="equal">
      <formula>"未完成"</formula>
    </cfRule>
    <cfRule type="cellIs" dxfId="0" priority="4768" operator="equal">
      <formula>"未完成"</formula>
    </cfRule>
  </conditionalFormatting>
  <conditionalFormatting sqref="AS96:AT96">
    <cfRule type="cellIs" dxfId="1" priority="4788" operator="equal">
      <formula>"未完成"</formula>
    </cfRule>
    <cfRule type="cellIs" dxfId="0" priority="4792" operator="equal">
      <formula>"未完成"</formula>
    </cfRule>
  </conditionalFormatting>
  <conditionalFormatting sqref="R97">
    <cfRule type="cellIs" dxfId="0" priority="4751" operator="equal">
      <formula>"欠"</formula>
    </cfRule>
  </conditionalFormatting>
  <conditionalFormatting sqref="AC97">
    <cfRule type="cellIs" dxfId="0" priority="4795" operator="equal">
      <formula>"未完成"</formula>
    </cfRule>
  </conditionalFormatting>
  <conditionalFormatting sqref="AG97:AH97">
    <cfRule type="cellIs" dxfId="0" priority="4803" operator="equal">
      <formula>"未完成"</formula>
    </cfRule>
    <cfRule type="cellIs" dxfId="1" priority="4799" operator="equal">
      <formula>"未完成"</formula>
    </cfRule>
  </conditionalFormatting>
  <conditionalFormatting sqref="AI97">
    <cfRule type="cellIs" dxfId="1" priority="4755" operator="equal">
      <formula>"未完成"</formula>
    </cfRule>
    <cfRule type="cellIs" dxfId="0" priority="4759" operator="equal">
      <formula>"未完成"</formula>
    </cfRule>
  </conditionalFormatting>
  <conditionalFormatting sqref="AJ97">
    <cfRule type="cellIs" dxfId="0" priority="4775" operator="equal">
      <formula>"未完成"</formula>
    </cfRule>
    <cfRule type="cellIs" dxfId="1" priority="4771" operator="equal">
      <formula>"未完成"</formula>
    </cfRule>
  </conditionalFormatting>
  <conditionalFormatting sqref="AK97">
    <cfRule type="cellIs" dxfId="1" priority="4735" operator="equal">
      <formula>"未完成"</formula>
    </cfRule>
    <cfRule type="cellIs" dxfId="0" priority="4739" operator="equal">
      <formula>"未完成"</formula>
    </cfRule>
  </conditionalFormatting>
  <conditionalFormatting sqref="AN97">
    <cfRule type="cellIs" dxfId="1" priority="4727" operator="equal">
      <formula>"未完成"</formula>
    </cfRule>
    <cfRule type="cellIs" dxfId="0" priority="4731" operator="equal">
      <formula>"未完成"</formula>
    </cfRule>
  </conditionalFormatting>
  <conditionalFormatting sqref="AO97">
    <cfRule type="cellIs" dxfId="1" priority="4779" operator="equal">
      <formula>"未完成"</formula>
    </cfRule>
    <cfRule type="cellIs" dxfId="0" priority="4783" operator="equal">
      <formula>"未完成"</formula>
    </cfRule>
  </conditionalFormatting>
  <conditionalFormatting sqref="AQ97">
    <cfRule type="cellIs" dxfId="1" priority="4743" operator="equal">
      <formula>"未完成"</formula>
    </cfRule>
    <cfRule type="cellIs" dxfId="0" priority="4747" operator="equal">
      <formula>"未完成"</formula>
    </cfRule>
  </conditionalFormatting>
  <conditionalFormatting sqref="AR97">
    <cfRule type="cellIs" dxfId="1" priority="4763" operator="equal">
      <formula>"未完成"</formula>
    </cfRule>
    <cfRule type="cellIs" dxfId="0" priority="4767" operator="equal">
      <formula>"未完成"</formula>
    </cfRule>
  </conditionalFormatting>
  <conditionalFormatting sqref="AS97:AT97">
    <cfRule type="cellIs" dxfId="1" priority="4787" operator="equal">
      <formula>"未完成"</formula>
    </cfRule>
    <cfRule type="cellIs" dxfId="0" priority="4791" operator="equal">
      <formula>"未完成"</formula>
    </cfRule>
  </conditionalFormatting>
  <conditionalFormatting sqref="R98">
    <cfRule type="cellIs" dxfId="0" priority="4750" operator="equal">
      <formula>"欠"</formula>
    </cfRule>
  </conditionalFormatting>
  <conditionalFormatting sqref="T98">
    <cfRule type="cellIs" dxfId="0" priority="4722" operator="equal">
      <formula>"欠"</formula>
    </cfRule>
  </conditionalFormatting>
  <conditionalFormatting sqref="AC98">
    <cfRule type="cellIs" dxfId="0" priority="4794" operator="equal">
      <formula>"未完成"</formula>
    </cfRule>
  </conditionalFormatting>
  <conditionalFormatting sqref="AG98:AH98">
    <cfRule type="cellIs" dxfId="0" priority="4802" operator="equal">
      <formula>"未完成"</formula>
    </cfRule>
    <cfRule type="cellIs" dxfId="1" priority="4798" operator="equal">
      <formula>"未完成"</formula>
    </cfRule>
  </conditionalFormatting>
  <conditionalFormatting sqref="AI98">
    <cfRule type="cellIs" dxfId="0" priority="4758" operator="equal">
      <formula>"未完成"</formula>
    </cfRule>
    <cfRule type="cellIs" dxfId="1" priority="4754" operator="equal">
      <formula>"未完成"</formula>
    </cfRule>
  </conditionalFormatting>
  <conditionalFormatting sqref="AJ98">
    <cfRule type="cellIs" dxfId="0" priority="4774" operator="equal">
      <formula>"未完成"</formula>
    </cfRule>
    <cfRule type="cellIs" dxfId="1" priority="4770" operator="equal">
      <formula>"未完成"</formula>
    </cfRule>
  </conditionalFormatting>
  <conditionalFormatting sqref="AK98">
    <cfRule type="cellIs" dxfId="0" priority="4738" operator="equal">
      <formula>"未完成"</formula>
    </cfRule>
    <cfRule type="cellIs" dxfId="1" priority="4734" operator="equal">
      <formula>"未完成"</formula>
    </cfRule>
  </conditionalFormatting>
  <conditionalFormatting sqref="AN98">
    <cfRule type="cellIs" dxfId="1" priority="4726" operator="equal">
      <formula>"未完成"</formula>
    </cfRule>
    <cfRule type="cellIs" dxfId="0" priority="4730" operator="equal">
      <formula>"未完成"</formula>
    </cfRule>
  </conditionalFormatting>
  <conditionalFormatting sqref="AO98">
    <cfRule type="cellIs" dxfId="1" priority="4778" operator="equal">
      <formula>"未完成"</formula>
    </cfRule>
    <cfRule type="cellIs" dxfId="0" priority="4782" operator="equal">
      <formula>"未完成"</formula>
    </cfRule>
  </conditionalFormatting>
  <conditionalFormatting sqref="AQ98">
    <cfRule type="cellIs" dxfId="1" priority="4742" operator="equal">
      <formula>"未完成"</formula>
    </cfRule>
    <cfRule type="cellIs" dxfId="0" priority="4746" operator="equal">
      <formula>"未完成"</formula>
    </cfRule>
  </conditionalFormatting>
  <conditionalFormatting sqref="AR98">
    <cfRule type="cellIs" dxfId="1" priority="4762" operator="equal">
      <formula>"未完成"</formula>
    </cfRule>
    <cfRule type="cellIs" dxfId="0" priority="4766" operator="equal">
      <formula>"未完成"</formula>
    </cfRule>
  </conditionalFormatting>
  <conditionalFormatting sqref="AS98:AT98">
    <cfRule type="cellIs" dxfId="1" priority="4786" operator="equal">
      <formula>"未完成"</formula>
    </cfRule>
    <cfRule type="cellIs" dxfId="0" priority="4790" operator="equal">
      <formula>"未完成"</formula>
    </cfRule>
  </conditionalFormatting>
  <conditionalFormatting sqref="R99">
    <cfRule type="cellIs" dxfId="0" priority="4708" operator="equal">
      <formula>"欠"</formula>
    </cfRule>
  </conditionalFormatting>
  <conditionalFormatting sqref="T99">
    <cfRule type="cellIs" dxfId="0" priority="4701" operator="equal">
      <formula>"欠"</formula>
    </cfRule>
  </conditionalFormatting>
  <conditionalFormatting sqref="AC99">
    <cfRule type="cellIs" dxfId="0" priority="4719" operator="equal">
      <formula>"未完成"</formula>
    </cfRule>
  </conditionalFormatting>
  <conditionalFormatting sqref="AG99:AH99">
    <cfRule type="cellIs" dxfId="0" priority="4721" operator="equal">
      <formula>"未完成"</formula>
    </cfRule>
    <cfRule type="cellIs" dxfId="1" priority="4720" operator="equal">
      <formula>"未完成"</formula>
    </cfRule>
  </conditionalFormatting>
  <conditionalFormatting sqref="AI99">
    <cfRule type="cellIs" dxfId="0" priority="4710" operator="equal">
      <formula>"未完成"</formula>
    </cfRule>
    <cfRule type="cellIs" dxfId="1" priority="4709" operator="equal">
      <formula>"未完成"</formula>
    </cfRule>
  </conditionalFormatting>
  <conditionalFormatting sqref="AJ99">
    <cfRule type="cellIs" dxfId="0" priority="4714" operator="equal">
      <formula>"未完成"</formula>
    </cfRule>
    <cfRule type="cellIs" dxfId="1" priority="4713" operator="equal">
      <formula>"未完成"</formula>
    </cfRule>
  </conditionalFormatting>
  <conditionalFormatting sqref="AK99">
    <cfRule type="cellIs" dxfId="0" priority="4705" operator="equal">
      <formula>"未完成"</formula>
    </cfRule>
    <cfRule type="cellIs" dxfId="1" priority="4704" operator="equal">
      <formula>"未完成"</formula>
    </cfRule>
  </conditionalFormatting>
  <conditionalFormatting sqref="AN99">
    <cfRule type="cellIs" dxfId="1" priority="4702" operator="equal">
      <formula>"未完成"</formula>
    </cfRule>
    <cfRule type="cellIs" dxfId="0" priority="4703" operator="equal">
      <formula>"未完成"</formula>
    </cfRule>
  </conditionalFormatting>
  <conditionalFormatting sqref="AO99">
    <cfRule type="cellIs" dxfId="1" priority="4715" operator="equal">
      <formula>"未完成"</formula>
    </cfRule>
    <cfRule type="cellIs" dxfId="0" priority="4716" operator="equal">
      <formula>"未完成"</formula>
    </cfRule>
  </conditionalFormatting>
  <conditionalFormatting sqref="AQ99">
    <cfRule type="cellIs" dxfId="1" priority="4706" operator="equal">
      <formula>"未完成"</formula>
    </cfRule>
    <cfRule type="cellIs" dxfId="0" priority="4707" operator="equal">
      <formula>"未完成"</formula>
    </cfRule>
  </conditionalFormatting>
  <conditionalFormatting sqref="AR99">
    <cfRule type="cellIs" dxfId="1" priority="4711" operator="equal">
      <formula>"未完成"</formula>
    </cfRule>
    <cfRule type="cellIs" dxfId="0" priority="4712" operator="equal">
      <formula>"未完成"</formula>
    </cfRule>
  </conditionalFormatting>
  <conditionalFormatting sqref="AS99:AT99">
    <cfRule type="cellIs" dxfId="1" priority="4717" operator="equal">
      <formula>"未完成"</formula>
    </cfRule>
    <cfRule type="cellIs" dxfId="0" priority="4718" operator="equal">
      <formula>"未完成"</formula>
    </cfRule>
  </conditionalFormatting>
  <conditionalFormatting sqref="R100">
    <cfRule type="cellIs" dxfId="0" priority="4687" operator="equal">
      <formula>"欠"</formula>
    </cfRule>
  </conditionalFormatting>
  <conditionalFormatting sqref="T100">
    <cfRule type="cellIs" dxfId="0" priority="4680" operator="equal">
      <formula>"欠"</formula>
    </cfRule>
  </conditionalFormatting>
  <conditionalFormatting sqref="AC100">
    <cfRule type="cellIs" dxfId="0" priority="4698" operator="equal">
      <formula>"未完成"</formula>
    </cfRule>
  </conditionalFormatting>
  <conditionalFormatting sqref="AG100:AH100">
    <cfRule type="cellIs" dxfId="0" priority="4700" operator="equal">
      <formula>"未完成"</formula>
    </cfRule>
    <cfRule type="cellIs" dxfId="1" priority="4699" operator="equal">
      <formula>"未完成"</formula>
    </cfRule>
  </conditionalFormatting>
  <conditionalFormatting sqref="AI100">
    <cfRule type="cellIs" dxfId="0" priority="4689" operator="equal">
      <formula>"未完成"</formula>
    </cfRule>
    <cfRule type="cellIs" dxfId="1" priority="4688" operator="equal">
      <formula>"未完成"</formula>
    </cfRule>
  </conditionalFormatting>
  <conditionalFormatting sqref="AJ100">
    <cfRule type="cellIs" dxfId="0" priority="4693" operator="equal">
      <formula>"未完成"</formula>
    </cfRule>
    <cfRule type="cellIs" dxfId="1" priority="4692" operator="equal">
      <formula>"未完成"</formula>
    </cfRule>
  </conditionalFormatting>
  <conditionalFormatting sqref="AK100">
    <cfRule type="cellIs" dxfId="0" priority="4684" operator="equal">
      <formula>"未完成"</formula>
    </cfRule>
    <cfRule type="cellIs" dxfId="1" priority="4683" operator="equal">
      <formula>"未完成"</formula>
    </cfRule>
  </conditionalFormatting>
  <conditionalFormatting sqref="AN100">
    <cfRule type="cellIs" dxfId="1" priority="4681" operator="equal">
      <formula>"未完成"</formula>
    </cfRule>
    <cfRule type="cellIs" dxfId="0" priority="4682" operator="equal">
      <formula>"未完成"</formula>
    </cfRule>
  </conditionalFormatting>
  <conditionalFormatting sqref="AO100">
    <cfRule type="cellIs" dxfId="1" priority="4694" operator="equal">
      <formula>"未完成"</formula>
    </cfRule>
    <cfRule type="cellIs" dxfId="0" priority="4695" operator="equal">
      <formula>"未完成"</formula>
    </cfRule>
  </conditionalFormatting>
  <conditionalFormatting sqref="AQ100">
    <cfRule type="cellIs" dxfId="1" priority="4685" operator="equal">
      <formula>"未完成"</formula>
    </cfRule>
    <cfRule type="cellIs" dxfId="0" priority="4686" operator="equal">
      <formula>"未完成"</formula>
    </cfRule>
  </conditionalFormatting>
  <conditionalFormatting sqref="AR100">
    <cfRule type="cellIs" dxfId="1" priority="4690" operator="equal">
      <formula>"未完成"</formula>
    </cfRule>
    <cfRule type="cellIs" dxfId="0" priority="4691" operator="equal">
      <formula>"未完成"</formula>
    </cfRule>
  </conditionalFormatting>
  <conditionalFormatting sqref="AS100:AT100">
    <cfRule type="cellIs" dxfId="1" priority="4696" operator="equal">
      <formula>"未完成"</formula>
    </cfRule>
    <cfRule type="cellIs" dxfId="0" priority="4697" operator="equal">
      <formula>"未完成"</formula>
    </cfRule>
  </conditionalFormatting>
  <conditionalFormatting sqref="R101">
    <cfRule type="cellIs" dxfId="0" priority="4645" operator="equal">
      <formula>"欠"</formula>
    </cfRule>
  </conditionalFormatting>
  <conditionalFormatting sqref="T101">
    <cfRule type="cellIs" dxfId="0" priority="4638" operator="equal">
      <formula>"欠"</formula>
    </cfRule>
  </conditionalFormatting>
  <conditionalFormatting sqref="AC101">
    <cfRule type="cellIs" dxfId="0" priority="4656" operator="equal">
      <formula>"未完成"</formula>
    </cfRule>
  </conditionalFormatting>
  <conditionalFormatting sqref="AG101:AH101">
    <cfRule type="cellIs" dxfId="0" priority="4658" operator="equal">
      <formula>"未完成"</formula>
    </cfRule>
    <cfRule type="cellIs" dxfId="1" priority="4657" operator="equal">
      <formula>"未完成"</formula>
    </cfRule>
  </conditionalFormatting>
  <conditionalFormatting sqref="AI101">
    <cfRule type="cellIs" dxfId="0" priority="4647" operator="equal">
      <formula>"未完成"</formula>
    </cfRule>
    <cfRule type="cellIs" dxfId="1" priority="4646" operator="equal">
      <formula>"未完成"</formula>
    </cfRule>
  </conditionalFormatting>
  <conditionalFormatting sqref="AJ101">
    <cfRule type="cellIs" dxfId="0" priority="4651" operator="equal">
      <formula>"未完成"</formula>
    </cfRule>
    <cfRule type="cellIs" dxfId="1" priority="4650" operator="equal">
      <formula>"未完成"</formula>
    </cfRule>
  </conditionalFormatting>
  <conditionalFormatting sqref="AK101">
    <cfRule type="cellIs" dxfId="0" priority="4642" operator="equal">
      <formula>"未完成"</formula>
    </cfRule>
    <cfRule type="cellIs" dxfId="1" priority="4641" operator="equal">
      <formula>"未完成"</formula>
    </cfRule>
  </conditionalFormatting>
  <conditionalFormatting sqref="AN101">
    <cfRule type="cellIs" dxfId="1" priority="4639" operator="equal">
      <formula>"未完成"</formula>
    </cfRule>
    <cfRule type="cellIs" dxfId="0" priority="4640" operator="equal">
      <formula>"未完成"</formula>
    </cfRule>
  </conditionalFormatting>
  <conditionalFormatting sqref="AO101">
    <cfRule type="cellIs" dxfId="1" priority="4652" operator="equal">
      <formula>"未完成"</formula>
    </cfRule>
    <cfRule type="cellIs" dxfId="0" priority="4653" operator="equal">
      <formula>"未完成"</formula>
    </cfRule>
  </conditionalFormatting>
  <conditionalFormatting sqref="AQ101">
    <cfRule type="cellIs" dxfId="1" priority="4643" operator="equal">
      <formula>"未完成"</formula>
    </cfRule>
    <cfRule type="cellIs" dxfId="0" priority="4644" operator="equal">
      <formula>"未完成"</formula>
    </cfRule>
  </conditionalFormatting>
  <conditionalFormatting sqref="AR101">
    <cfRule type="cellIs" dxfId="1" priority="4648" operator="equal">
      <formula>"未完成"</formula>
    </cfRule>
    <cfRule type="cellIs" dxfId="0" priority="4649" operator="equal">
      <formula>"未完成"</formula>
    </cfRule>
  </conditionalFormatting>
  <conditionalFormatting sqref="AS101:AT101">
    <cfRule type="cellIs" dxfId="1" priority="4654" operator="equal">
      <formula>"未完成"</formula>
    </cfRule>
    <cfRule type="cellIs" dxfId="0" priority="4655" operator="equal">
      <formula>"未完成"</formula>
    </cfRule>
  </conditionalFormatting>
  <conditionalFormatting sqref="R102">
    <cfRule type="cellIs" dxfId="0" priority="4611" operator="equal">
      <formula>"欠"</formula>
    </cfRule>
  </conditionalFormatting>
  <conditionalFormatting sqref="T102">
    <cfRule type="cellIs" dxfId="0" priority="4597" operator="equal">
      <formula>"欠"</formula>
    </cfRule>
  </conditionalFormatting>
  <conditionalFormatting sqref="AC102">
    <cfRule type="cellIs" dxfId="0" priority="4633" operator="equal">
      <formula>"未完成"</formula>
    </cfRule>
  </conditionalFormatting>
  <conditionalFormatting sqref="AG102:AH102">
    <cfRule type="cellIs" dxfId="0" priority="4637" operator="equal">
      <formula>"未完成"</formula>
    </cfRule>
    <cfRule type="cellIs" dxfId="1" priority="4635" operator="equal">
      <formula>"未完成"</formula>
    </cfRule>
  </conditionalFormatting>
  <conditionalFormatting sqref="AI102">
    <cfRule type="cellIs" dxfId="0" priority="4615" operator="equal">
      <formula>"未完成"</formula>
    </cfRule>
    <cfRule type="cellIs" dxfId="1" priority="4613" operator="equal">
      <formula>"未完成"</formula>
    </cfRule>
  </conditionalFormatting>
  <conditionalFormatting sqref="AJ102">
    <cfRule type="cellIs" dxfId="0" priority="4623" operator="equal">
      <formula>"未完成"</formula>
    </cfRule>
    <cfRule type="cellIs" dxfId="1" priority="4621" operator="equal">
      <formula>"未完成"</formula>
    </cfRule>
  </conditionalFormatting>
  <conditionalFormatting sqref="AK102">
    <cfRule type="cellIs" dxfId="0" priority="4605" operator="equal">
      <formula>"未完成"</formula>
    </cfRule>
    <cfRule type="cellIs" dxfId="1" priority="4603" operator="equal">
      <formula>"未完成"</formula>
    </cfRule>
  </conditionalFormatting>
  <conditionalFormatting sqref="AN102">
    <cfRule type="cellIs" dxfId="1" priority="4599" operator="equal">
      <formula>"未完成"</formula>
    </cfRule>
    <cfRule type="cellIs" dxfId="0" priority="4601" operator="equal">
      <formula>"未完成"</formula>
    </cfRule>
  </conditionalFormatting>
  <conditionalFormatting sqref="AO102">
    <cfRule type="cellIs" dxfId="1" priority="4625" operator="equal">
      <formula>"未完成"</formula>
    </cfRule>
    <cfRule type="cellIs" dxfId="0" priority="4627" operator="equal">
      <formula>"未完成"</formula>
    </cfRule>
  </conditionalFormatting>
  <conditionalFormatting sqref="AQ102">
    <cfRule type="cellIs" dxfId="1" priority="4607" operator="equal">
      <formula>"未完成"</formula>
    </cfRule>
    <cfRule type="cellIs" dxfId="0" priority="4609" operator="equal">
      <formula>"未完成"</formula>
    </cfRule>
  </conditionalFormatting>
  <conditionalFormatting sqref="AR102">
    <cfRule type="cellIs" dxfId="1" priority="4617" operator="equal">
      <formula>"未完成"</formula>
    </cfRule>
    <cfRule type="cellIs" dxfId="0" priority="4619" operator="equal">
      <formula>"未完成"</formula>
    </cfRule>
  </conditionalFormatting>
  <conditionalFormatting sqref="AS102:AT102">
    <cfRule type="cellIs" dxfId="1" priority="4629" operator="equal">
      <formula>"未完成"</formula>
    </cfRule>
    <cfRule type="cellIs" dxfId="0" priority="4631" operator="equal">
      <formula>"未完成"</formula>
    </cfRule>
  </conditionalFormatting>
  <conditionalFormatting sqref="R103">
    <cfRule type="cellIs" dxfId="0" priority="4610" operator="equal">
      <formula>"欠"</formula>
    </cfRule>
  </conditionalFormatting>
  <conditionalFormatting sqref="T103">
    <cfRule type="cellIs" dxfId="0" priority="4596" operator="equal">
      <formula>"欠"</formula>
    </cfRule>
  </conditionalFormatting>
  <conditionalFormatting sqref="AC103">
    <cfRule type="cellIs" dxfId="0" priority="4632" operator="equal">
      <formula>"未完成"</formula>
    </cfRule>
  </conditionalFormatting>
  <conditionalFormatting sqref="AG103:AH103">
    <cfRule type="cellIs" dxfId="0" priority="4636" operator="equal">
      <formula>"未完成"</formula>
    </cfRule>
    <cfRule type="cellIs" dxfId="1" priority="4634" operator="equal">
      <formula>"未完成"</formula>
    </cfRule>
  </conditionalFormatting>
  <conditionalFormatting sqref="AI103">
    <cfRule type="cellIs" dxfId="0" priority="4614" operator="equal">
      <formula>"未完成"</formula>
    </cfRule>
    <cfRule type="cellIs" dxfId="1" priority="4612" operator="equal">
      <formula>"未完成"</formula>
    </cfRule>
  </conditionalFormatting>
  <conditionalFormatting sqref="AJ103">
    <cfRule type="cellIs" dxfId="0" priority="4622" operator="equal">
      <formula>"未完成"</formula>
    </cfRule>
    <cfRule type="cellIs" dxfId="1" priority="4620" operator="equal">
      <formula>"未完成"</formula>
    </cfRule>
  </conditionalFormatting>
  <conditionalFormatting sqref="AK103">
    <cfRule type="cellIs" dxfId="0" priority="4604" operator="equal">
      <formula>"未完成"</formula>
    </cfRule>
    <cfRule type="cellIs" dxfId="1" priority="4602" operator="equal">
      <formula>"未完成"</formula>
    </cfRule>
  </conditionalFormatting>
  <conditionalFormatting sqref="AN103">
    <cfRule type="cellIs" dxfId="1" priority="4598" operator="equal">
      <formula>"未完成"</formula>
    </cfRule>
    <cfRule type="cellIs" dxfId="0" priority="4600" operator="equal">
      <formula>"未完成"</formula>
    </cfRule>
  </conditionalFormatting>
  <conditionalFormatting sqref="AO103">
    <cfRule type="cellIs" dxfId="1" priority="4624" operator="equal">
      <formula>"未完成"</formula>
    </cfRule>
    <cfRule type="cellIs" dxfId="0" priority="4626" operator="equal">
      <formula>"未完成"</formula>
    </cfRule>
  </conditionalFormatting>
  <conditionalFormatting sqref="AQ103">
    <cfRule type="cellIs" dxfId="1" priority="4606" operator="equal">
      <formula>"未完成"</formula>
    </cfRule>
    <cfRule type="cellIs" dxfId="0" priority="4608" operator="equal">
      <formula>"未完成"</formula>
    </cfRule>
  </conditionalFormatting>
  <conditionalFormatting sqref="AR103">
    <cfRule type="cellIs" dxfId="1" priority="4616" operator="equal">
      <formula>"未完成"</formula>
    </cfRule>
    <cfRule type="cellIs" dxfId="0" priority="4618" operator="equal">
      <formula>"未完成"</formula>
    </cfRule>
  </conditionalFormatting>
  <conditionalFormatting sqref="AS103:AT103">
    <cfRule type="cellIs" dxfId="1" priority="4628" operator="equal">
      <formula>"未完成"</formula>
    </cfRule>
    <cfRule type="cellIs" dxfId="0" priority="4630" operator="equal">
      <formula>"未完成"</formula>
    </cfRule>
  </conditionalFormatting>
  <conditionalFormatting sqref="R104">
    <cfRule type="cellIs" dxfId="0" priority="4582" operator="equal">
      <formula>"欠"</formula>
    </cfRule>
  </conditionalFormatting>
  <conditionalFormatting sqref="T104">
    <cfRule type="cellIs" dxfId="0" priority="4575" operator="equal">
      <formula>"欠"</formula>
    </cfRule>
  </conditionalFormatting>
  <conditionalFormatting sqref="AC104">
    <cfRule type="cellIs" dxfId="0" priority="4593" operator="equal">
      <formula>"未完成"</formula>
    </cfRule>
  </conditionalFormatting>
  <conditionalFormatting sqref="AG104:AH104">
    <cfRule type="cellIs" dxfId="0" priority="4595" operator="equal">
      <formula>"未完成"</formula>
    </cfRule>
    <cfRule type="cellIs" dxfId="1" priority="4594" operator="equal">
      <formula>"未完成"</formula>
    </cfRule>
  </conditionalFormatting>
  <conditionalFormatting sqref="AI104">
    <cfRule type="cellIs" dxfId="0" priority="4584" operator="equal">
      <formula>"未完成"</formula>
    </cfRule>
    <cfRule type="cellIs" dxfId="1" priority="4583" operator="equal">
      <formula>"未完成"</formula>
    </cfRule>
  </conditionalFormatting>
  <conditionalFormatting sqref="AJ104">
    <cfRule type="cellIs" dxfId="0" priority="4588" operator="equal">
      <formula>"未完成"</formula>
    </cfRule>
    <cfRule type="cellIs" dxfId="1" priority="4587" operator="equal">
      <formula>"未完成"</formula>
    </cfRule>
  </conditionalFormatting>
  <conditionalFormatting sqref="AK104">
    <cfRule type="cellIs" dxfId="0" priority="4579" operator="equal">
      <formula>"未完成"</formula>
    </cfRule>
    <cfRule type="cellIs" dxfId="1" priority="4578" operator="equal">
      <formula>"未完成"</formula>
    </cfRule>
  </conditionalFormatting>
  <conditionalFormatting sqref="AN104">
    <cfRule type="cellIs" dxfId="1" priority="4576" operator="equal">
      <formula>"未完成"</formula>
    </cfRule>
    <cfRule type="cellIs" dxfId="0" priority="4577" operator="equal">
      <formula>"未完成"</formula>
    </cfRule>
  </conditionalFormatting>
  <conditionalFormatting sqref="AO104">
    <cfRule type="cellIs" dxfId="1" priority="4589" operator="equal">
      <formula>"未完成"</formula>
    </cfRule>
    <cfRule type="cellIs" dxfId="0" priority="4590" operator="equal">
      <formula>"未完成"</formula>
    </cfRule>
  </conditionalFormatting>
  <conditionalFormatting sqref="AQ104">
    <cfRule type="cellIs" dxfId="1" priority="4580" operator="equal">
      <formula>"未完成"</formula>
    </cfRule>
    <cfRule type="cellIs" dxfId="0" priority="4581" operator="equal">
      <formula>"未完成"</formula>
    </cfRule>
  </conditionalFormatting>
  <conditionalFormatting sqref="AR104">
    <cfRule type="cellIs" dxfId="1" priority="4585" operator="equal">
      <formula>"未完成"</formula>
    </cfRule>
    <cfRule type="cellIs" dxfId="0" priority="4586" operator="equal">
      <formula>"未完成"</formula>
    </cfRule>
  </conditionalFormatting>
  <conditionalFormatting sqref="AS104:AT104">
    <cfRule type="cellIs" dxfId="1" priority="4591" operator="equal">
      <formula>"未完成"</formula>
    </cfRule>
    <cfRule type="cellIs" dxfId="0" priority="4592" operator="equal">
      <formula>"未完成"</formula>
    </cfRule>
  </conditionalFormatting>
  <conditionalFormatting sqref="R105">
    <cfRule type="cellIs" dxfId="0" priority="4516" operator="equal">
      <formula>"欠"</formula>
    </cfRule>
  </conditionalFormatting>
  <conditionalFormatting sqref="T105">
    <cfRule type="cellIs" dxfId="0" priority="4495" operator="equal">
      <formula>"欠"</formula>
    </cfRule>
  </conditionalFormatting>
  <conditionalFormatting sqref="AC105">
    <cfRule type="cellIs" dxfId="0" priority="4549" operator="equal">
      <formula>"未完成"</formula>
    </cfRule>
  </conditionalFormatting>
  <conditionalFormatting sqref="AG105:AH105">
    <cfRule type="cellIs" dxfId="0" priority="4555" operator="equal">
      <formula>"未完成"</formula>
    </cfRule>
    <cfRule type="cellIs" dxfId="1" priority="4552" operator="equal">
      <formula>"未完成"</formula>
    </cfRule>
  </conditionalFormatting>
  <conditionalFormatting sqref="AI105">
    <cfRule type="cellIs" dxfId="0" priority="4522" operator="equal">
      <formula>"未完成"</formula>
    </cfRule>
    <cfRule type="cellIs" dxfId="1" priority="4519" operator="equal">
      <formula>"未完成"</formula>
    </cfRule>
  </conditionalFormatting>
  <conditionalFormatting sqref="AJ105">
    <cfRule type="cellIs" dxfId="0" priority="4534" operator="equal">
      <formula>"未完成"</formula>
    </cfRule>
    <cfRule type="cellIs" dxfId="1" priority="4531" operator="equal">
      <formula>"未完成"</formula>
    </cfRule>
  </conditionalFormatting>
  <conditionalFormatting sqref="AK105">
    <cfRule type="cellIs" dxfId="0" priority="4507" operator="equal">
      <formula>"未完成"</formula>
    </cfRule>
    <cfRule type="cellIs" dxfId="1" priority="4504" operator="equal">
      <formula>"未完成"</formula>
    </cfRule>
  </conditionalFormatting>
  <conditionalFormatting sqref="AN105">
    <cfRule type="cellIs" dxfId="1" priority="4498" operator="equal">
      <formula>"未完成"</formula>
    </cfRule>
    <cfRule type="cellIs" dxfId="0" priority="4501" operator="equal">
      <formula>"未完成"</formula>
    </cfRule>
  </conditionalFormatting>
  <conditionalFormatting sqref="AO105">
    <cfRule type="cellIs" dxfId="1" priority="4537" operator="equal">
      <formula>"未完成"</formula>
    </cfRule>
    <cfRule type="cellIs" dxfId="0" priority="4540" operator="equal">
      <formula>"未完成"</formula>
    </cfRule>
  </conditionalFormatting>
  <conditionalFormatting sqref="AQ105">
    <cfRule type="cellIs" dxfId="1" priority="4510" operator="equal">
      <formula>"未完成"</formula>
    </cfRule>
    <cfRule type="cellIs" dxfId="0" priority="4513" operator="equal">
      <formula>"未完成"</formula>
    </cfRule>
  </conditionalFormatting>
  <conditionalFormatting sqref="AR105">
    <cfRule type="cellIs" dxfId="1" priority="4525" operator="equal">
      <formula>"未完成"</formula>
    </cfRule>
    <cfRule type="cellIs" dxfId="0" priority="4528" operator="equal">
      <formula>"未完成"</formula>
    </cfRule>
  </conditionalFormatting>
  <conditionalFormatting sqref="AS105:AT105">
    <cfRule type="cellIs" dxfId="1" priority="4543" operator="equal">
      <formula>"未完成"</formula>
    </cfRule>
    <cfRule type="cellIs" dxfId="0" priority="4546" operator="equal">
      <formula>"未完成"</formula>
    </cfRule>
  </conditionalFormatting>
  <conditionalFormatting sqref="R106">
    <cfRule type="cellIs" dxfId="0" priority="4515" operator="equal">
      <formula>"欠"</formula>
    </cfRule>
  </conditionalFormatting>
  <conditionalFormatting sqref="T106">
    <cfRule type="cellIs" dxfId="0" priority="4494" operator="equal">
      <formula>"欠"</formula>
    </cfRule>
  </conditionalFormatting>
  <conditionalFormatting sqref="AC106">
    <cfRule type="cellIs" dxfId="0" priority="4548" operator="equal">
      <formula>"未完成"</formula>
    </cfRule>
  </conditionalFormatting>
  <conditionalFormatting sqref="AG106:AH106">
    <cfRule type="cellIs" dxfId="0" priority="4554" operator="equal">
      <formula>"未完成"</formula>
    </cfRule>
    <cfRule type="cellIs" dxfId="1" priority="4551" operator="equal">
      <formula>"未完成"</formula>
    </cfRule>
  </conditionalFormatting>
  <conditionalFormatting sqref="AI106">
    <cfRule type="cellIs" dxfId="0" priority="4521" operator="equal">
      <formula>"未完成"</formula>
    </cfRule>
    <cfRule type="cellIs" dxfId="1" priority="4518" operator="equal">
      <formula>"未完成"</formula>
    </cfRule>
  </conditionalFormatting>
  <conditionalFormatting sqref="AJ106">
    <cfRule type="cellIs" dxfId="0" priority="4533" operator="equal">
      <formula>"未完成"</formula>
    </cfRule>
    <cfRule type="cellIs" dxfId="1" priority="4530" operator="equal">
      <formula>"未完成"</formula>
    </cfRule>
  </conditionalFormatting>
  <conditionalFormatting sqref="AK106">
    <cfRule type="cellIs" dxfId="0" priority="4506" operator="equal">
      <formula>"未完成"</formula>
    </cfRule>
    <cfRule type="cellIs" dxfId="1" priority="4503" operator="equal">
      <formula>"未完成"</formula>
    </cfRule>
  </conditionalFormatting>
  <conditionalFormatting sqref="AN106">
    <cfRule type="cellIs" dxfId="1" priority="4497" operator="equal">
      <formula>"未完成"</formula>
    </cfRule>
    <cfRule type="cellIs" dxfId="0" priority="4500" operator="equal">
      <formula>"未完成"</formula>
    </cfRule>
  </conditionalFormatting>
  <conditionalFormatting sqref="AO106">
    <cfRule type="cellIs" dxfId="1" priority="4536" operator="equal">
      <formula>"未完成"</formula>
    </cfRule>
    <cfRule type="cellIs" dxfId="0" priority="4539" operator="equal">
      <formula>"未完成"</formula>
    </cfRule>
  </conditionalFormatting>
  <conditionalFormatting sqref="AQ106">
    <cfRule type="cellIs" dxfId="1" priority="4509" operator="equal">
      <formula>"未完成"</formula>
    </cfRule>
    <cfRule type="cellIs" dxfId="0" priority="4512" operator="equal">
      <formula>"未完成"</formula>
    </cfRule>
  </conditionalFormatting>
  <conditionalFormatting sqref="AR106">
    <cfRule type="cellIs" dxfId="1" priority="4524" operator="equal">
      <formula>"未完成"</formula>
    </cfRule>
    <cfRule type="cellIs" dxfId="0" priority="4527" operator="equal">
      <formula>"未完成"</formula>
    </cfRule>
  </conditionalFormatting>
  <conditionalFormatting sqref="AS106:AT106">
    <cfRule type="cellIs" dxfId="1" priority="4542" operator="equal">
      <formula>"未完成"</formula>
    </cfRule>
    <cfRule type="cellIs" dxfId="0" priority="4545" operator="equal">
      <formula>"未完成"</formula>
    </cfRule>
  </conditionalFormatting>
  <conditionalFormatting sqref="R107">
    <cfRule type="cellIs" dxfId="0" priority="4514" operator="equal">
      <formula>"欠"</formula>
    </cfRule>
  </conditionalFormatting>
  <conditionalFormatting sqref="T107">
    <cfRule type="cellIs" dxfId="0" priority="4493" operator="equal">
      <formula>"欠"</formula>
    </cfRule>
  </conditionalFormatting>
  <conditionalFormatting sqref="AC107">
    <cfRule type="cellIs" dxfId="0" priority="4547" operator="equal">
      <formula>"未完成"</formula>
    </cfRule>
  </conditionalFormatting>
  <conditionalFormatting sqref="AG107:AH107">
    <cfRule type="cellIs" dxfId="0" priority="4553" operator="equal">
      <formula>"未完成"</formula>
    </cfRule>
    <cfRule type="cellIs" dxfId="1" priority="4550" operator="equal">
      <formula>"未完成"</formula>
    </cfRule>
  </conditionalFormatting>
  <conditionalFormatting sqref="AI107">
    <cfRule type="cellIs" dxfId="0" priority="4520" operator="equal">
      <formula>"未完成"</formula>
    </cfRule>
    <cfRule type="cellIs" dxfId="1" priority="4517" operator="equal">
      <formula>"未完成"</formula>
    </cfRule>
  </conditionalFormatting>
  <conditionalFormatting sqref="AJ107">
    <cfRule type="cellIs" dxfId="0" priority="4532" operator="equal">
      <formula>"未完成"</formula>
    </cfRule>
    <cfRule type="cellIs" dxfId="1" priority="4529" operator="equal">
      <formula>"未完成"</formula>
    </cfRule>
  </conditionalFormatting>
  <conditionalFormatting sqref="AK107">
    <cfRule type="cellIs" dxfId="0" priority="4505" operator="equal">
      <formula>"未完成"</formula>
    </cfRule>
    <cfRule type="cellIs" dxfId="1" priority="4502" operator="equal">
      <formula>"未完成"</formula>
    </cfRule>
  </conditionalFormatting>
  <conditionalFormatting sqref="AN107">
    <cfRule type="cellIs" dxfId="1" priority="4496" operator="equal">
      <formula>"未完成"</formula>
    </cfRule>
    <cfRule type="cellIs" dxfId="0" priority="4499" operator="equal">
      <formula>"未完成"</formula>
    </cfRule>
  </conditionalFormatting>
  <conditionalFormatting sqref="AO107">
    <cfRule type="cellIs" dxfId="1" priority="4535" operator="equal">
      <formula>"未完成"</formula>
    </cfRule>
    <cfRule type="cellIs" dxfId="0" priority="4538" operator="equal">
      <formula>"未完成"</formula>
    </cfRule>
  </conditionalFormatting>
  <conditionalFormatting sqref="AQ107">
    <cfRule type="cellIs" dxfId="1" priority="4508" operator="equal">
      <formula>"未完成"</formula>
    </cfRule>
    <cfRule type="cellIs" dxfId="0" priority="4511" operator="equal">
      <formula>"未完成"</formula>
    </cfRule>
  </conditionalFormatting>
  <conditionalFormatting sqref="AR107">
    <cfRule type="cellIs" dxfId="1" priority="4523" operator="equal">
      <formula>"未完成"</formula>
    </cfRule>
    <cfRule type="cellIs" dxfId="0" priority="4526" operator="equal">
      <formula>"未完成"</formula>
    </cfRule>
  </conditionalFormatting>
  <conditionalFormatting sqref="AS107:AT107">
    <cfRule type="cellIs" dxfId="1" priority="4541" operator="equal">
      <formula>"未完成"</formula>
    </cfRule>
    <cfRule type="cellIs" dxfId="0" priority="4544" operator="equal">
      <formula>"未完成"</formula>
    </cfRule>
  </conditionalFormatting>
  <conditionalFormatting sqref="R108">
    <cfRule type="cellIs" dxfId="0" priority="4412" operator="equal">
      <formula>"欠"</formula>
    </cfRule>
  </conditionalFormatting>
  <conditionalFormatting sqref="T108">
    <cfRule type="cellIs" dxfId="0" priority="4405" operator="equal">
      <formula>"欠"</formula>
    </cfRule>
  </conditionalFormatting>
  <conditionalFormatting sqref="AC108">
    <cfRule type="cellIs" dxfId="0" priority="4423" operator="equal">
      <formula>"未完成"</formula>
    </cfRule>
  </conditionalFormatting>
  <conditionalFormatting sqref="AG108:AH108">
    <cfRule type="cellIs" dxfId="0" priority="4425" operator="equal">
      <formula>"未完成"</formula>
    </cfRule>
    <cfRule type="cellIs" dxfId="1" priority="4424" operator="equal">
      <formula>"未完成"</formula>
    </cfRule>
  </conditionalFormatting>
  <conditionalFormatting sqref="AI108">
    <cfRule type="cellIs" dxfId="0" priority="4414" operator="equal">
      <formula>"未完成"</formula>
    </cfRule>
    <cfRule type="cellIs" dxfId="1" priority="4413" operator="equal">
      <formula>"未完成"</formula>
    </cfRule>
  </conditionalFormatting>
  <conditionalFormatting sqref="AJ108">
    <cfRule type="cellIs" dxfId="0" priority="4418" operator="equal">
      <formula>"未完成"</formula>
    </cfRule>
    <cfRule type="cellIs" dxfId="1" priority="4417" operator="equal">
      <formula>"未完成"</formula>
    </cfRule>
  </conditionalFormatting>
  <conditionalFormatting sqref="AK108">
    <cfRule type="cellIs" dxfId="0" priority="4409" operator="equal">
      <formula>"未完成"</formula>
    </cfRule>
    <cfRule type="cellIs" dxfId="1" priority="4408" operator="equal">
      <formula>"未完成"</formula>
    </cfRule>
  </conditionalFormatting>
  <conditionalFormatting sqref="AN108">
    <cfRule type="cellIs" dxfId="1" priority="4406" operator="equal">
      <formula>"未完成"</formula>
    </cfRule>
    <cfRule type="cellIs" dxfId="0" priority="4407" operator="equal">
      <formula>"未完成"</formula>
    </cfRule>
  </conditionalFormatting>
  <conditionalFormatting sqref="AO108">
    <cfRule type="cellIs" dxfId="1" priority="4419" operator="equal">
      <formula>"未完成"</formula>
    </cfRule>
    <cfRule type="cellIs" dxfId="0" priority="4420" operator="equal">
      <formula>"未完成"</formula>
    </cfRule>
  </conditionalFormatting>
  <conditionalFormatting sqref="AQ108">
    <cfRule type="cellIs" dxfId="1" priority="4410" operator="equal">
      <formula>"未完成"</formula>
    </cfRule>
    <cfRule type="cellIs" dxfId="0" priority="4411" operator="equal">
      <formula>"未完成"</formula>
    </cfRule>
  </conditionalFormatting>
  <conditionalFormatting sqref="AR108">
    <cfRule type="cellIs" dxfId="1" priority="4415" operator="equal">
      <formula>"未完成"</formula>
    </cfRule>
    <cfRule type="cellIs" dxfId="0" priority="4416" operator="equal">
      <formula>"未完成"</formula>
    </cfRule>
  </conditionalFormatting>
  <conditionalFormatting sqref="AS108:AT108">
    <cfRule type="cellIs" dxfId="1" priority="4421" operator="equal">
      <formula>"未完成"</formula>
    </cfRule>
    <cfRule type="cellIs" dxfId="0" priority="4422" operator="equal">
      <formula>"未完成"</formula>
    </cfRule>
  </conditionalFormatting>
  <conditionalFormatting sqref="R109">
    <cfRule type="cellIs" dxfId="0" priority="4313" operator="equal">
      <formula>"欠"</formula>
    </cfRule>
  </conditionalFormatting>
  <conditionalFormatting sqref="T109">
    <cfRule type="cellIs" dxfId="0" priority="4264" operator="equal">
      <formula>"欠"</formula>
    </cfRule>
  </conditionalFormatting>
  <conditionalFormatting sqref="AC109">
    <cfRule type="cellIs" dxfId="0" priority="4390" operator="equal">
      <formula>"未完成"</formula>
    </cfRule>
  </conditionalFormatting>
  <conditionalFormatting sqref="AG109:AH109">
    <cfRule type="cellIs" dxfId="0" priority="4404" operator="equal">
      <formula>"未完成"</formula>
    </cfRule>
    <cfRule type="cellIs" dxfId="1" priority="4397" operator="equal">
      <formula>"未完成"</formula>
    </cfRule>
  </conditionalFormatting>
  <conditionalFormatting sqref="AI109">
    <cfRule type="cellIs" dxfId="0" priority="4327" operator="equal">
      <formula>"未完成"</formula>
    </cfRule>
    <cfRule type="cellIs" dxfId="1" priority="4320" operator="equal">
      <formula>"未完成"</formula>
    </cfRule>
  </conditionalFormatting>
  <conditionalFormatting sqref="AJ109">
    <cfRule type="cellIs" dxfId="0" priority="4355" operator="equal">
      <formula>"未完成"</formula>
    </cfRule>
    <cfRule type="cellIs" dxfId="1" priority="4348" operator="equal">
      <formula>"未完成"</formula>
    </cfRule>
  </conditionalFormatting>
  <conditionalFormatting sqref="AK109">
    <cfRule type="cellIs" dxfId="0" priority="4292" operator="equal">
      <formula>"未完成"</formula>
    </cfRule>
    <cfRule type="cellIs" dxfId="1" priority="4285" operator="equal">
      <formula>"未完成"</formula>
    </cfRule>
  </conditionalFormatting>
  <conditionalFormatting sqref="AN109">
    <cfRule type="cellIs" dxfId="1" priority="4271" operator="equal">
      <formula>"未完成"</formula>
    </cfRule>
    <cfRule type="cellIs" dxfId="0" priority="4278" operator="equal">
      <formula>"未完成"</formula>
    </cfRule>
  </conditionalFormatting>
  <conditionalFormatting sqref="AO109">
    <cfRule type="cellIs" dxfId="1" priority="4362" operator="equal">
      <formula>"未完成"</formula>
    </cfRule>
    <cfRule type="cellIs" dxfId="0" priority="4369" operator="equal">
      <formula>"未完成"</formula>
    </cfRule>
  </conditionalFormatting>
  <conditionalFormatting sqref="AQ109">
    <cfRule type="cellIs" dxfId="1" priority="4299" operator="equal">
      <formula>"未完成"</formula>
    </cfRule>
    <cfRule type="cellIs" dxfId="0" priority="4306" operator="equal">
      <formula>"未完成"</formula>
    </cfRule>
  </conditionalFormatting>
  <conditionalFormatting sqref="AR109">
    <cfRule type="cellIs" dxfId="1" priority="4334" operator="equal">
      <formula>"未完成"</formula>
    </cfRule>
    <cfRule type="cellIs" dxfId="0" priority="4341" operator="equal">
      <formula>"未完成"</formula>
    </cfRule>
  </conditionalFormatting>
  <conditionalFormatting sqref="AS109:AT109">
    <cfRule type="cellIs" dxfId="1" priority="4376" operator="equal">
      <formula>"未完成"</formula>
    </cfRule>
    <cfRule type="cellIs" dxfId="0" priority="4383" operator="equal">
      <formula>"未完成"</formula>
    </cfRule>
  </conditionalFormatting>
  <conditionalFormatting sqref="R110">
    <cfRule type="cellIs" dxfId="0" priority="4312" operator="equal">
      <formula>"欠"</formula>
    </cfRule>
  </conditionalFormatting>
  <conditionalFormatting sqref="T110">
    <cfRule type="cellIs" dxfId="0" priority="4263" operator="equal">
      <formula>"欠"</formula>
    </cfRule>
  </conditionalFormatting>
  <conditionalFormatting sqref="AC110">
    <cfRule type="cellIs" dxfId="0" priority="4389" operator="equal">
      <formula>"未完成"</formula>
    </cfRule>
  </conditionalFormatting>
  <conditionalFormatting sqref="AG110:AH110">
    <cfRule type="cellIs" dxfId="0" priority="4403" operator="equal">
      <formula>"未完成"</formula>
    </cfRule>
    <cfRule type="cellIs" dxfId="1" priority="4396" operator="equal">
      <formula>"未完成"</formula>
    </cfRule>
  </conditionalFormatting>
  <conditionalFormatting sqref="AI110">
    <cfRule type="cellIs" dxfId="0" priority="4326" operator="equal">
      <formula>"未完成"</formula>
    </cfRule>
    <cfRule type="cellIs" dxfId="1" priority="4319" operator="equal">
      <formula>"未完成"</formula>
    </cfRule>
  </conditionalFormatting>
  <conditionalFormatting sqref="AJ110">
    <cfRule type="cellIs" dxfId="0" priority="4354" operator="equal">
      <formula>"未完成"</formula>
    </cfRule>
    <cfRule type="cellIs" dxfId="1" priority="4347" operator="equal">
      <formula>"未完成"</formula>
    </cfRule>
  </conditionalFormatting>
  <conditionalFormatting sqref="AK110">
    <cfRule type="cellIs" dxfId="0" priority="4291" operator="equal">
      <formula>"未完成"</formula>
    </cfRule>
    <cfRule type="cellIs" dxfId="1" priority="4284" operator="equal">
      <formula>"未完成"</formula>
    </cfRule>
  </conditionalFormatting>
  <conditionalFormatting sqref="AN110">
    <cfRule type="cellIs" dxfId="1" priority="4270" operator="equal">
      <formula>"未完成"</formula>
    </cfRule>
    <cfRule type="cellIs" dxfId="0" priority="4277" operator="equal">
      <formula>"未完成"</formula>
    </cfRule>
  </conditionalFormatting>
  <conditionalFormatting sqref="AO110">
    <cfRule type="cellIs" dxfId="1" priority="4361" operator="equal">
      <formula>"未完成"</formula>
    </cfRule>
    <cfRule type="cellIs" dxfId="0" priority="4368" operator="equal">
      <formula>"未完成"</formula>
    </cfRule>
  </conditionalFormatting>
  <conditionalFormatting sqref="AQ110">
    <cfRule type="cellIs" dxfId="1" priority="4298" operator="equal">
      <formula>"未完成"</formula>
    </cfRule>
    <cfRule type="cellIs" dxfId="0" priority="4305" operator="equal">
      <formula>"未完成"</formula>
    </cfRule>
  </conditionalFormatting>
  <conditionalFormatting sqref="AR110">
    <cfRule type="cellIs" dxfId="1" priority="4333" operator="equal">
      <formula>"未完成"</formula>
    </cfRule>
    <cfRule type="cellIs" dxfId="0" priority="4340" operator="equal">
      <formula>"未完成"</formula>
    </cfRule>
  </conditionalFormatting>
  <conditionalFormatting sqref="AS110:AT110">
    <cfRule type="cellIs" dxfId="1" priority="4375" operator="equal">
      <formula>"未完成"</formula>
    </cfRule>
    <cfRule type="cellIs" dxfId="0" priority="4382" operator="equal">
      <formula>"未完成"</formula>
    </cfRule>
  </conditionalFormatting>
  <conditionalFormatting sqref="R111">
    <cfRule type="cellIs" dxfId="0" priority="4311" operator="equal">
      <formula>"欠"</formula>
    </cfRule>
  </conditionalFormatting>
  <conditionalFormatting sqref="T111">
    <cfRule type="cellIs" dxfId="0" priority="4262" operator="equal">
      <formula>"欠"</formula>
    </cfRule>
  </conditionalFormatting>
  <conditionalFormatting sqref="AC111">
    <cfRule type="cellIs" dxfId="0" priority="4388" operator="equal">
      <formula>"未完成"</formula>
    </cfRule>
  </conditionalFormatting>
  <conditionalFormatting sqref="AG111:AH111">
    <cfRule type="cellIs" dxfId="0" priority="4402" operator="equal">
      <formula>"未完成"</formula>
    </cfRule>
    <cfRule type="cellIs" dxfId="1" priority="4395" operator="equal">
      <formula>"未完成"</formula>
    </cfRule>
  </conditionalFormatting>
  <conditionalFormatting sqref="AI111">
    <cfRule type="cellIs" dxfId="0" priority="4325" operator="equal">
      <formula>"未完成"</formula>
    </cfRule>
    <cfRule type="cellIs" dxfId="1" priority="4318" operator="equal">
      <formula>"未完成"</formula>
    </cfRule>
  </conditionalFormatting>
  <conditionalFormatting sqref="AJ111">
    <cfRule type="cellIs" dxfId="0" priority="4353" operator="equal">
      <formula>"未完成"</formula>
    </cfRule>
    <cfRule type="cellIs" dxfId="1" priority="4346" operator="equal">
      <formula>"未完成"</formula>
    </cfRule>
  </conditionalFormatting>
  <conditionalFormatting sqref="AK111">
    <cfRule type="cellIs" dxfId="0" priority="4290" operator="equal">
      <formula>"未完成"</formula>
    </cfRule>
    <cfRule type="cellIs" dxfId="1" priority="4283" operator="equal">
      <formula>"未完成"</formula>
    </cfRule>
  </conditionalFormatting>
  <conditionalFormatting sqref="AN111">
    <cfRule type="cellIs" dxfId="1" priority="4269" operator="equal">
      <formula>"未完成"</formula>
    </cfRule>
    <cfRule type="cellIs" dxfId="0" priority="4276" operator="equal">
      <formula>"未完成"</formula>
    </cfRule>
  </conditionalFormatting>
  <conditionalFormatting sqref="AO111">
    <cfRule type="cellIs" dxfId="1" priority="4360" operator="equal">
      <formula>"未完成"</formula>
    </cfRule>
    <cfRule type="cellIs" dxfId="0" priority="4367" operator="equal">
      <formula>"未完成"</formula>
    </cfRule>
  </conditionalFormatting>
  <conditionalFormatting sqref="AQ111">
    <cfRule type="cellIs" dxfId="1" priority="4297" operator="equal">
      <formula>"未完成"</formula>
    </cfRule>
    <cfRule type="cellIs" dxfId="0" priority="4304" operator="equal">
      <formula>"未完成"</formula>
    </cfRule>
  </conditionalFormatting>
  <conditionalFormatting sqref="AR111">
    <cfRule type="cellIs" dxfId="1" priority="4332" operator="equal">
      <formula>"未完成"</formula>
    </cfRule>
    <cfRule type="cellIs" dxfId="0" priority="4339" operator="equal">
      <formula>"未完成"</formula>
    </cfRule>
  </conditionalFormatting>
  <conditionalFormatting sqref="AS111:AT111">
    <cfRule type="cellIs" dxfId="1" priority="4374" operator="equal">
      <formula>"未完成"</formula>
    </cfRule>
    <cfRule type="cellIs" dxfId="0" priority="4381" operator="equal">
      <formula>"未完成"</formula>
    </cfRule>
  </conditionalFormatting>
  <conditionalFormatting sqref="R112">
    <cfRule type="cellIs" dxfId="0" priority="4310" operator="equal">
      <formula>"欠"</formula>
    </cfRule>
  </conditionalFormatting>
  <conditionalFormatting sqref="T112">
    <cfRule type="cellIs" dxfId="0" priority="4261" operator="equal">
      <formula>"欠"</formula>
    </cfRule>
  </conditionalFormatting>
  <conditionalFormatting sqref="AC112">
    <cfRule type="cellIs" dxfId="0" priority="4387" operator="equal">
      <formula>"未完成"</formula>
    </cfRule>
  </conditionalFormatting>
  <conditionalFormatting sqref="AG112:AH112">
    <cfRule type="cellIs" dxfId="0" priority="4401" operator="equal">
      <formula>"未完成"</formula>
    </cfRule>
    <cfRule type="cellIs" dxfId="1" priority="4394" operator="equal">
      <formula>"未完成"</formula>
    </cfRule>
  </conditionalFormatting>
  <conditionalFormatting sqref="AI112">
    <cfRule type="cellIs" dxfId="0" priority="4324" operator="equal">
      <formula>"未完成"</formula>
    </cfRule>
    <cfRule type="cellIs" dxfId="1" priority="4317" operator="equal">
      <formula>"未完成"</formula>
    </cfRule>
  </conditionalFormatting>
  <conditionalFormatting sqref="AJ112">
    <cfRule type="cellIs" dxfId="0" priority="4352" operator="equal">
      <formula>"未完成"</formula>
    </cfRule>
    <cfRule type="cellIs" dxfId="1" priority="4345" operator="equal">
      <formula>"未完成"</formula>
    </cfRule>
  </conditionalFormatting>
  <conditionalFormatting sqref="AK112">
    <cfRule type="cellIs" dxfId="0" priority="4289" operator="equal">
      <formula>"未完成"</formula>
    </cfRule>
    <cfRule type="cellIs" dxfId="1" priority="4282" operator="equal">
      <formula>"未完成"</formula>
    </cfRule>
  </conditionalFormatting>
  <conditionalFormatting sqref="AN112">
    <cfRule type="cellIs" dxfId="1" priority="4268" operator="equal">
      <formula>"未完成"</formula>
    </cfRule>
    <cfRule type="cellIs" dxfId="0" priority="4275" operator="equal">
      <formula>"未完成"</formula>
    </cfRule>
  </conditionalFormatting>
  <conditionalFormatting sqref="AO112">
    <cfRule type="cellIs" dxfId="1" priority="4359" operator="equal">
      <formula>"未完成"</formula>
    </cfRule>
    <cfRule type="cellIs" dxfId="0" priority="4366" operator="equal">
      <formula>"未完成"</formula>
    </cfRule>
  </conditionalFormatting>
  <conditionalFormatting sqref="AQ112">
    <cfRule type="cellIs" dxfId="1" priority="4296" operator="equal">
      <formula>"未完成"</formula>
    </cfRule>
    <cfRule type="cellIs" dxfId="0" priority="4303" operator="equal">
      <formula>"未完成"</formula>
    </cfRule>
  </conditionalFormatting>
  <conditionalFormatting sqref="AR112">
    <cfRule type="cellIs" dxfId="1" priority="4331" operator="equal">
      <formula>"未完成"</formula>
    </cfRule>
    <cfRule type="cellIs" dxfId="0" priority="4338" operator="equal">
      <formula>"未完成"</formula>
    </cfRule>
  </conditionalFormatting>
  <conditionalFormatting sqref="AS112:AT112">
    <cfRule type="cellIs" dxfId="1" priority="4373" operator="equal">
      <formula>"未完成"</formula>
    </cfRule>
    <cfRule type="cellIs" dxfId="0" priority="4380" operator="equal">
      <formula>"未完成"</formula>
    </cfRule>
  </conditionalFormatting>
  <conditionalFormatting sqref="R113">
    <cfRule type="cellIs" dxfId="0" priority="4309" operator="equal">
      <formula>"欠"</formula>
    </cfRule>
  </conditionalFormatting>
  <conditionalFormatting sqref="AC113">
    <cfRule type="cellIs" dxfId="0" priority="4386" operator="equal">
      <formula>"未完成"</formula>
    </cfRule>
  </conditionalFormatting>
  <conditionalFormatting sqref="AG113:AH113">
    <cfRule type="cellIs" dxfId="0" priority="4400" operator="equal">
      <formula>"未完成"</formula>
    </cfRule>
    <cfRule type="cellIs" dxfId="1" priority="4393" operator="equal">
      <formula>"未完成"</formula>
    </cfRule>
  </conditionalFormatting>
  <conditionalFormatting sqref="AI113">
    <cfRule type="cellIs" dxfId="0" priority="4323" operator="equal">
      <formula>"未完成"</formula>
    </cfRule>
    <cfRule type="cellIs" dxfId="1" priority="4316" operator="equal">
      <formula>"未完成"</formula>
    </cfRule>
  </conditionalFormatting>
  <conditionalFormatting sqref="AJ113">
    <cfRule type="cellIs" dxfId="0" priority="4351" operator="equal">
      <formula>"未完成"</formula>
    </cfRule>
    <cfRule type="cellIs" dxfId="1" priority="4344" operator="equal">
      <formula>"未完成"</formula>
    </cfRule>
  </conditionalFormatting>
  <conditionalFormatting sqref="AK113">
    <cfRule type="cellIs" dxfId="0" priority="4288" operator="equal">
      <formula>"未完成"</formula>
    </cfRule>
    <cfRule type="cellIs" dxfId="1" priority="4281" operator="equal">
      <formula>"未完成"</formula>
    </cfRule>
  </conditionalFormatting>
  <conditionalFormatting sqref="AN113">
    <cfRule type="cellIs" dxfId="1" priority="4267" operator="equal">
      <formula>"未完成"</formula>
    </cfRule>
    <cfRule type="cellIs" dxfId="0" priority="4274" operator="equal">
      <formula>"未完成"</formula>
    </cfRule>
  </conditionalFormatting>
  <conditionalFormatting sqref="AO113">
    <cfRule type="cellIs" dxfId="1" priority="4358" operator="equal">
      <formula>"未完成"</formula>
    </cfRule>
    <cfRule type="cellIs" dxfId="0" priority="4365" operator="equal">
      <formula>"未完成"</formula>
    </cfRule>
  </conditionalFormatting>
  <conditionalFormatting sqref="AQ113">
    <cfRule type="cellIs" dxfId="1" priority="4295" operator="equal">
      <formula>"未完成"</formula>
    </cfRule>
    <cfRule type="cellIs" dxfId="0" priority="4302" operator="equal">
      <formula>"未完成"</formula>
    </cfRule>
  </conditionalFormatting>
  <conditionalFormatting sqref="AR113">
    <cfRule type="cellIs" dxfId="1" priority="4330" operator="equal">
      <formula>"未完成"</formula>
    </cfRule>
    <cfRule type="cellIs" dxfId="0" priority="4337" operator="equal">
      <formula>"未完成"</formula>
    </cfRule>
  </conditionalFormatting>
  <conditionalFormatting sqref="AS113:AT113">
    <cfRule type="cellIs" dxfId="1" priority="4372" operator="equal">
      <formula>"未完成"</formula>
    </cfRule>
    <cfRule type="cellIs" dxfId="0" priority="4379" operator="equal">
      <formula>"未完成"</formula>
    </cfRule>
  </conditionalFormatting>
  <conditionalFormatting sqref="R114">
    <cfRule type="cellIs" dxfId="0" priority="4308" operator="equal">
      <formula>"欠"</formula>
    </cfRule>
  </conditionalFormatting>
  <conditionalFormatting sqref="AC114">
    <cfRule type="cellIs" dxfId="0" priority="4385" operator="equal">
      <formula>"未完成"</formula>
    </cfRule>
  </conditionalFormatting>
  <conditionalFormatting sqref="AG114:AH114">
    <cfRule type="cellIs" dxfId="0" priority="4399" operator="equal">
      <formula>"未完成"</formula>
    </cfRule>
    <cfRule type="cellIs" dxfId="1" priority="4392" operator="equal">
      <formula>"未完成"</formula>
    </cfRule>
  </conditionalFormatting>
  <conditionalFormatting sqref="AI114">
    <cfRule type="cellIs" dxfId="0" priority="4322" operator="equal">
      <formula>"未完成"</formula>
    </cfRule>
    <cfRule type="cellIs" dxfId="1" priority="4315" operator="equal">
      <formula>"未完成"</formula>
    </cfRule>
  </conditionalFormatting>
  <conditionalFormatting sqref="AJ114">
    <cfRule type="cellIs" dxfId="0" priority="4350" operator="equal">
      <formula>"未完成"</formula>
    </cfRule>
    <cfRule type="cellIs" dxfId="1" priority="4343" operator="equal">
      <formula>"未完成"</formula>
    </cfRule>
  </conditionalFormatting>
  <conditionalFormatting sqref="AK114">
    <cfRule type="cellIs" dxfId="0" priority="4287" operator="equal">
      <formula>"未完成"</formula>
    </cfRule>
    <cfRule type="cellIs" dxfId="1" priority="4280" operator="equal">
      <formula>"未完成"</formula>
    </cfRule>
  </conditionalFormatting>
  <conditionalFormatting sqref="AN114">
    <cfRule type="cellIs" dxfId="1" priority="4266" operator="equal">
      <formula>"未完成"</formula>
    </cfRule>
    <cfRule type="cellIs" dxfId="0" priority="4273" operator="equal">
      <formula>"未完成"</formula>
    </cfRule>
  </conditionalFormatting>
  <conditionalFormatting sqref="AO114">
    <cfRule type="cellIs" dxfId="1" priority="4357" operator="equal">
      <formula>"未完成"</formula>
    </cfRule>
    <cfRule type="cellIs" dxfId="0" priority="4364" operator="equal">
      <formula>"未完成"</formula>
    </cfRule>
  </conditionalFormatting>
  <conditionalFormatting sqref="AQ114">
    <cfRule type="cellIs" dxfId="1" priority="4294" operator="equal">
      <formula>"未完成"</formula>
    </cfRule>
    <cfRule type="cellIs" dxfId="0" priority="4301" operator="equal">
      <formula>"未完成"</formula>
    </cfRule>
  </conditionalFormatting>
  <conditionalFormatting sqref="AR114">
    <cfRule type="cellIs" dxfId="1" priority="4329" operator="equal">
      <formula>"未完成"</formula>
    </cfRule>
    <cfRule type="cellIs" dxfId="0" priority="4336" operator="equal">
      <formula>"未完成"</formula>
    </cfRule>
  </conditionalFormatting>
  <conditionalFormatting sqref="AS114:AT114">
    <cfRule type="cellIs" dxfId="1" priority="4371" operator="equal">
      <formula>"未完成"</formula>
    </cfRule>
    <cfRule type="cellIs" dxfId="0" priority="4378" operator="equal">
      <formula>"未完成"</formula>
    </cfRule>
  </conditionalFormatting>
  <conditionalFormatting sqref="R115">
    <cfRule type="cellIs" dxfId="0" priority="4307" operator="equal">
      <formula>"欠"</formula>
    </cfRule>
  </conditionalFormatting>
  <conditionalFormatting sqref="AC115">
    <cfRule type="cellIs" dxfId="0" priority="4384" operator="equal">
      <formula>"未完成"</formula>
    </cfRule>
  </conditionalFormatting>
  <conditionalFormatting sqref="AG115:AH115">
    <cfRule type="cellIs" dxfId="0" priority="4398" operator="equal">
      <formula>"未完成"</formula>
    </cfRule>
    <cfRule type="cellIs" dxfId="1" priority="4391" operator="equal">
      <formula>"未完成"</formula>
    </cfRule>
  </conditionalFormatting>
  <conditionalFormatting sqref="AI115">
    <cfRule type="cellIs" dxfId="0" priority="4321" operator="equal">
      <formula>"未完成"</formula>
    </cfRule>
    <cfRule type="cellIs" dxfId="1" priority="4314" operator="equal">
      <formula>"未完成"</formula>
    </cfRule>
  </conditionalFormatting>
  <conditionalFormatting sqref="AJ115">
    <cfRule type="cellIs" dxfId="0" priority="4349" operator="equal">
      <formula>"未完成"</formula>
    </cfRule>
    <cfRule type="cellIs" dxfId="1" priority="4342" operator="equal">
      <formula>"未完成"</formula>
    </cfRule>
  </conditionalFormatting>
  <conditionalFormatting sqref="AK115">
    <cfRule type="cellIs" dxfId="0" priority="4286" operator="equal">
      <formula>"未完成"</formula>
    </cfRule>
    <cfRule type="cellIs" dxfId="1" priority="4279" operator="equal">
      <formula>"未完成"</formula>
    </cfRule>
  </conditionalFormatting>
  <conditionalFormatting sqref="AN115">
    <cfRule type="cellIs" dxfId="1" priority="4265" operator="equal">
      <formula>"未完成"</formula>
    </cfRule>
    <cfRule type="cellIs" dxfId="0" priority="4272" operator="equal">
      <formula>"未完成"</formula>
    </cfRule>
  </conditionalFormatting>
  <conditionalFormatting sqref="AO115">
    <cfRule type="cellIs" dxfId="1" priority="4356" operator="equal">
      <formula>"未完成"</formula>
    </cfRule>
    <cfRule type="cellIs" dxfId="0" priority="4363" operator="equal">
      <formula>"未完成"</formula>
    </cfRule>
  </conditionalFormatting>
  <conditionalFormatting sqref="AQ115">
    <cfRule type="cellIs" dxfId="1" priority="4293" operator="equal">
      <formula>"未完成"</formula>
    </cfRule>
    <cfRule type="cellIs" dxfId="0" priority="4300" operator="equal">
      <formula>"未完成"</formula>
    </cfRule>
  </conditionalFormatting>
  <conditionalFormatting sqref="AR115">
    <cfRule type="cellIs" dxfId="1" priority="4328" operator="equal">
      <formula>"未完成"</formula>
    </cfRule>
    <cfRule type="cellIs" dxfId="0" priority="4335" operator="equal">
      <formula>"未完成"</formula>
    </cfRule>
  </conditionalFormatting>
  <conditionalFormatting sqref="AS115:AT115">
    <cfRule type="cellIs" dxfId="1" priority="4370" operator="equal">
      <formula>"未完成"</formula>
    </cfRule>
    <cfRule type="cellIs" dxfId="0" priority="4377" operator="equal">
      <formula>"未完成"</formula>
    </cfRule>
  </conditionalFormatting>
  <conditionalFormatting sqref="R116">
    <cfRule type="cellIs" dxfId="0" priority="4229" operator="equal">
      <formula>"欠"</formula>
    </cfRule>
  </conditionalFormatting>
  <conditionalFormatting sqref="T116">
    <cfRule type="cellIs" dxfId="0" priority="4215" operator="equal">
      <formula>"欠"</formula>
    </cfRule>
  </conditionalFormatting>
  <conditionalFormatting sqref="AC116">
    <cfRule type="cellIs" dxfId="0" priority="4251" operator="equal">
      <formula>"未完成"</formula>
    </cfRule>
  </conditionalFormatting>
  <conditionalFormatting sqref="AG116:AH116">
    <cfRule type="cellIs" dxfId="0" priority="4255" operator="equal">
      <formula>"未完成"</formula>
    </cfRule>
    <cfRule type="cellIs" dxfId="1" priority="4253" operator="equal">
      <formula>"未完成"</formula>
    </cfRule>
  </conditionalFormatting>
  <conditionalFormatting sqref="AI116">
    <cfRule type="cellIs" dxfId="0" priority="4233" operator="equal">
      <formula>"未完成"</formula>
    </cfRule>
    <cfRule type="cellIs" dxfId="1" priority="4231" operator="equal">
      <formula>"未完成"</formula>
    </cfRule>
  </conditionalFormatting>
  <conditionalFormatting sqref="AJ116">
    <cfRule type="cellIs" dxfId="0" priority="4241" operator="equal">
      <formula>"未完成"</formula>
    </cfRule>
    <cfRule type="cellIs" dxfId="1" priority="4239" operator="equal">
      <formula>"未完成"</formula>
    </cfRule>
  </conditionalFormatting>
  <conditionalFormatting sqref="AK116">
    <cfRule type="cellIs" dxfId="0" priority="4223" operator="equal">
      <formula>"未完成"</formula>
    </cfRule>
    <cfRule type="cellIs" dxfId="1" priority="4221" operator="equal">
      <formula>"未完成"</formula>
    </cfRule>
  </conditionalFormatting>
  <conditionalFormatting sqref="AN116">
    <cfRule type="cellIs" dxfId="1" priority="4217" operator="equal">
      <formula>"未完成"</formula>
    </cfRule>
    <cfRule type="cellIs" dxfId="0" priority="4219" operator="equal">
      <formula>"未完成"</formula>
    </cfRule>
  </conditionalFormatting>
  <conditionalFormatting sqref="AO116">
    <cfRule type="cellIs" dxfId="1" priority="4243" operator="equal">
      <formula>"未完成"</formula>
    </cfRule>
    <cfRule type="cellIs" dxfId="0" priority="4245" operator="equal">
      <formula>"未完成"</formula>
    </cfRule>
  </conditionalFormatting>
  <conditionalFormatting sqref="AQ116">
    <cfRule type="cellIs" dxfId="1" priority="4225" operator="equal">
      <formula>"未完成"</formula>
    </cfRule>
    <cfRule type="cellIs" dxfId="0" priority="4227" operator="equal">
      <formula>"未完成"</formula>
    </cfRule>
  </conditionalFormatting>
  <conditionalFormatting sqref="AR116">
    <cfRule type="cellIs" dxfId="1" priority="4235" operator="equal">
      <formula>"未完成"</formula>
    </cfRule>
    <cfRule type="cellIs" dxfId="0" priority="4237" operator="equal">
      <formula>"未完成"</formula>
    </cfRule>
  </conditionalFormatting>
  <conditionalFormatting sqref="AS116:AT116">
    <cfRule type="cellIs" dxfId="1" priority="4247" operator="equal">
      <formula>"未完成"</formula>
    </cfRule>
    <cfRule type="cellIs" dxfId="0" priority="4249" operator="equal">
      <formula>"未完成"</formula>
    </cfRule>
  </conditionalFormatting>
  <conditionalFormatting sqref="R117">
    <cfRule type="cellIs" dxfId="0" priority="4228" operator="equal">
      <formula>"欠"</formula>
    </cfRule>
  </conditionalFormatting>
  <conditionalFormatting sqref="T117">
    <cfRule type="cellIs" dxfId="0" priority="4214" operator="equal">
      <formula>"欠"</formula>
    </cfRule>
  </conditionalFormatting>
  <conditionalFormatting sqref="AC117">
    <cfRule type="cellIs" dxfId="0" priority="4250" operator="equal">
      <formula>"未完成"</formula>
    </cfRule>
  </conditionalFormatting>
  <conditionalFormatting sqref="AG117:AH117">
    <cfRule type="cellIs" dxfId="0" priority="4254" operator="equal">
      <formula>"未完成"</formula>
    </cfRule>
    <cfRule type="cellIs" dxfId="1" priority="4252" operator="equal">
      <formula>"未完成"</formula>
    </cfRule>
  </conditionalFormatting>
  <conditionalFormatting sqref="AI117">
    <cfRule type="cellIs" dxfId="0" priority="4232" operator="equal">
      <formula>"未完成"</formula>
    </cfRule>
    <cfRule type="cellIs" dxfId="1" priority="4230" operator="equal">
      <formula>"未完成"</formula>
    </cfRule>
  </conditionalFormatting>
  <conditionalFormatting sqref="AJ117">
    <cfRule type="cellIs" dxfId="0" priority="4240" operator="equal">
      <formula>"未完成"</formula>
    </cfRule>
    <cfRule type="cellIs" dxfId="1" priority="4238" operator="equal">
      <formula>"未完成"</formula>
    </cfRule>
  </conditionalFormatting>
  <conditionalFormatting sqref="AK117">
    <cfRule type="cellIs" dxfId="0" priority="4222" operator="equal">
      <formula>"未完成"</formula>
    </cfRule>
    <cfRule type="cellIs" dxfId="1" priority="4220" operator="equal">
      <formula>"未完成"</formula>
    </cfRule>
  </conditionalFormatting>
  <conditionalFormatting sqref="AN117">
    <cfRule type="cellIs" dxfId="1" priority="4216" operator="equal">
      <formula>"未完成"</formula>
    </cfRule>
    <cfRule type="cellIs" dxfId="0" priority="4218" operator="equal">
      <formula>"未完成"</formula>
    </cfRule>
  </conditionalFormatting>
  <conditionalFormatting sqref="AO117">
    <cfRule type="cellIs" dxfId="1" priority="4242" operator="equal">
      <formula>"未完成"</formula>
    </cfRule>
    <cfRule type="cellIs" dxfId="0" priority="4244" operator="equal">
      <formula>"未完成"</formula>
    </cfRule>
  </conditionalFormatting>
  <conditionalFormatting sqref="AQ117">
    <cfRule type="cellIs" dxfId="1" priority="4224" operator="equal">
      <formula>"未完成"</formula>
    </cfRule>
    <cfRule type="cellIs" dxfId="0" priority="4226" operator="equal">
      <formula>"未完成"</formula>
    </cfRule>
  </conditionalFormatting>
  <conditionalFormatting sqref="AR117">
    <cfRule type="cellIs" dxfId="1" priority="4234" operator="equal">
      <formula>"未完成"</formula>
    </cfRule>
    <cfRule type="cellIs" dxfId="0" priority="4236" operator="equal">
      <formula>"未完成"</formula>
    </cfRule>
  </conditionalFormatting>
  <conditionalFormatting sqref="AS117:AT117">
    <cfRule type="cellIs" dxfId="1" priority="4246" operator="equal">
      <formula>"未完成"</formula>
    </cfRule>
    <cfRule type="cellIs" dxfId="0" priority="4248" operator="equal">
      <formula>"未完成"</formula>
    </cfRule>
  </conditionalFormatting>
  <conditionalFormatting sqref="R118">
    <cfRule type="cellIs" dxfId="0" priority="3964" operator="equal">
      <formula>"欠"</formula>
    </cfRule>
  </conditionalFormatting>
  <conditionalFormatting sqref="T118">
    <cfRule type="cellIs" dxfId="0" priority="3922" operator="equal">
      <formula>"欠"</formula>
    </cfRule>
  </conditionalFormatting>
  <conditionalFormatting sqref="AC118">
    <cfRule type="cellIs" dxfId="0" priority="4030" operator="equal">
      <formula>"未完成"</formula>
    </cfRule>
  </conditionalFormatting>
  <conditionalFormatting sqref="AG118:AH118">
    <cfRule type="cellIs" dxfId="0" priority="4042" operator="equal">
      <formula>"未完成"</formula>
    </cfRule>
    <cfRule type="cellIs" dxfId="1" priority="4036" operator="equal">
      <formula>"未完成"</formula>
    </cfRule>
  </conditionalFormatting>
  <conditionalFormatting sqref="AI118">
    <cfRule type="cellIs" dxfId="0" priority="3976" operator="equal">
      <formula>"未完成"</formula>
    </cfRule>
    <cfRule type="cellIs" dxfId="1" priority="3970" operator="equal">
      <formula>"未完成"</formula>
    </cfRule>
  </conditionalFormatting>
  <conditionalFormatting sqref="AJ118">
    <cfRule type="cellIs" dxfId="0" priority="4000" operator="equal">
      <formula>"未完成"</formula>
    </cfRule>
    <cfRule type="cellIs" dxfId="1" priority="3994" operator="equal">
      <formula>"未完成"</formula>
    </cfRule>
  </conditionalFormatting>
  <conditionalFormatting sqref="AK118">
    <cfRule type="cellIs" dxfId="0" priority="3946" operator="equal">
      <formula>"未完成"</formula>
    </cfRule>
    <cfRule type="cellIs" dxfId="1" priority="3940" operator="equal">
      <formula>"未完成"</formula>
    </cfRule>
  </conditionalFormatting>
  <conditionalFormatting sqref="AN118">
    <cfRule type="cellIs" dxfId="1" priority="3928" operator="equal">
      <formula>"未完成"</formula>
    </cfRule>
    <cfRule type="cellIs" dxfId="0" priority="3934" operator="equal">
      <formula>"未完成"</formula>
    </cfRule>
  </conditionalFormatting>
  <conditionalFormatting sqref="AO118">
    <cfRule type="cellIs" dxfId="1" priority="4006" operator="equal">
      <formula>"未完成"</formula>
    </cfRule>
    <cfRule type="cellIs" dxfId="0" priority="4012" operator="equal">
      <formula>"未完成"</formula>
    </cfRule>
  </conditionalFormatting>
  <conditionalFormatting sqref="AQ118">
    <cfRule type="cellIs" dxfId="1" priority="3952" operator="equal">
      <formula>"未完成"</formula>
    </cfRule>
    <cfRule type="cellIs" dxfId="0" priority="3958" operator="equal">
      <formula>"未完成"</formula>
    </cfRule>
  </conditionalFormatting>
  <conditionalFormatting sqref="AR118">
    <cfRule type="cellIs" dxfId="1" priority="3982" operator="equal">
      <formula>"未完成"</formula>
    </cfRule>
    <cfRule type="cellIs" dxfId="0" priority="3988" operator="equal">
      <formula>"未完成"</formula>
    </cfRule>
  </conditionalFormatting>
  <conditionalFormatting sqref="AS118:AT118">
    <cfRule type="cellIs" dxfId="1" priority="4018" operator="equal">
      <formula>"未完成"</formula>
    </cfRule>
    <cfRule type="cellIs" dxfId="0" priority="4024" operator="equal">
      <formula>"未完成"</formula>
    </cfRule>
  </conditionalFormatting>
  <conditionalFormatting sqref="R119">
    <cfRule type="cellIs" dxfId="0" priority="3963" operator="equal">
      <formula>"欠"</formula>
    </cfRule>
  </conditionalFormatting>
  <conditionalFormatting sqref="T119">
    <cfRule type="cellIs" dxfId="0" priority="3921" operator="equal">
      <formula>"欠"</formula>
    </cfRule>
  </conditionalFormatting>
  <conditionalFormatting sqref="AC119">
    <cfRule type="cellIs" dxfId="0" priority="4029" operator="equal">
      <formula>"未完成"</formula>
    </cfRule>
  </conditionalFormatting>
  <conditionalFormatting sqref="AG119:AH119">
    <cfRule type="cellIs" dxfId="0" priority="4041" operator="equal">
      <formula>"未完成"</formula>
    </cfRule>
    <cfRule type="cellIs" dxfId="1" priority="4035" operator="equal">
      <formula>"未完成"</formula>
    </cfRule>
  </conditionalFormatting>
  <conditionalFormatting sqref="AI119">
    <cfRule type="cellIs" dxfId="0" priority="3975" operator="equal">
      <formula>"未完成"</formula>
    </cfRule>
    <cfRule type="cellIs" dxfId="1" priority="3969" operator="equal">
      <formula>"未完成"</formula>
    </cfRule>
  </conditionalFormatting>
  <conditionalFormatting sqref="AJ119">
    <cfRule type="cellIs" dxfId="0" priority="3999" operator="equal">
      <formula>"未完成"</formula>
    </cfRule>
    <cfRule type="cellIs" dxfId="1" priority="3993" operator="equal">
      <formula>"未完成"</formula>
    </cfRule>
  </conditionalFormatting>
  <conditionalFormatting sqref="AK119">
    <cfRule type="cellIs" dxfId="0" priority="3945" operator="equal">
      <formula>"未完成"</formula>
    </cfRule>
    <cfRule type="cellIs" dxfId="1" priority="3939" operator="equal">
      <formula>"未完成"</formula>
    </cfRule>
  </conditionalFormatting>
  <conditionalFormatting sqref="AN119">
    <cfRule type="cellIs" dxfId="1" priority="3927" operator="equal">
      <formula>"未完成"</formula>
    </cfRule>
    <cfRule type="cellIs" dxfId="0" priority="3933" operator="equal">
      <formula>"未完成"</formula>
    </cfRule>
  </conditionalFormatting>
  <conditionalFormatting sqref="AO119">
    <cfRule type="cellIs" dxfId="1" priority="4005" operator="equal">
      <formula>"未完成"</formula>
    </cfRule>
    <cfRule type="cellIs" dxfId="0" priority="4011" operator="equal">
      <formula>"未完成"</formula>
    </cfRule>
  </conditionalFormatting>
  <conditionalFormatting sqref="AQ119">
    <cfRule type="cellIs" dxfId="1" priority="3951" operator="equal">
      <formula>"未完成"</formula>
    </cfRule>
    <cfRule type="cellIs" dxfId="0" priority="3957" operator="equal">
      <formula>"未完成"</formula>
    </cfRule>
  </conditionalFormatting>
  <conditionalFormatting sqref="AR119">
    <cfRule type="cellIs" dxfId="1" priority="3981" operator="equal">
      <formula>"未完成"</formula>
    </cfRule>
    <cfRule type="cellIs" dxfId="0" priority="3987" operator="equal">
      <formula>"未完成"</formula>
    </cfRule>
  </conditionalFormatting>
  <conditionalFormatting sqref="AS119:AT119">
    <cfRule type="cellIs" dxfId="1" priority="4017" operator="equal">
      <formula>"未完成"</formula>
    </cfRule>
    <cfRule type="cellIs" dxfId="0" priority="4023" operator="equal">
      <formula>"未完成"</formula>
    </cfRule>
  </conditionalFormatting>
  <conditionalFormatting sqref="R120">
    <cfRule type="cellIs" dxfId="0" priority="3962" operator="equal">
      <formula>"欠"</formula>
    </cfRule>
  </conditionalFormatting>
  <conditionalFormatting sqref="AC120">
    <cfRule type="cellIs" dxfId="0" priority="4028" operator="equal">
      <formula>"未完成"</formula>
    </cfRule>
  </conditionalFormatting>
  <conditionalFormatting sqref="AG120:AH120">
    <cfRule type="cellIs" dxfId="0" priority="4040" operator="equal">
      <formula>"未完成"</formula>
    </cfRule>
    <cfRule type="cellIs" dxfId="1" priority="4034" operator="equal">
      <formula>"未完成"</formula>
    </cfRule>
  </conditionalFormatting>
  <conditionalFormatting sqref="AI120">
    <cfRule type="cellIs" dxfId="0" priority="3974" operator="equal">
      <formula>"未完成"</formula>
    </cfRule>
    <cfRule type="cellIs" dxfId="1" priority="3968" operator="equal">
      <formula>"未完成"</formula>
    </cfRule>
  </conditionalFormatting>
  <conditionalFormatting sqref="AJ120">
    <cfRule type="cellIs" dxfId="0" priority="3998" operator="equal">
      <formula>"未完成"</formula>
    </cfRule>
    <cfRule type="cellIs" dxfId="1" priority="3992" operator="equal">
      <formula>"未完成"</formula>
    </cfRule>
  </conditionalFormatting>
  <conditionalFormatting sqref="AK120">
    <cfRule type="cellIs" dxfId="0" priority="3944" operator="equal">
      <formula>"未完成"</formula>
    </cfRule>
    <cfRule type="cellIs" dxfId="1" priority="3938" operator="equal">
      <formula>"未完成"</formula>
    </cfRule>
  </conditionalFormatting>
  <conditionalFormatting sqref="AN120">
    <cfRule type="cellIs" dxfId="1" priority="3926" operator="equal">
      <formula>"未完成"</formula>
    </cfRule>
    <cfRule type="cellIs" dxfId="0" priority="3932" operator="equal">
      <formula>"未完成"</formula>
    </cfRule>
  </conditionalFormatting>
  <conditionalFormatting sqref="AO120">
    <cfRule type="cellIs" dxfId="1" priority="4004" operator="equal">
      <formula>"未完成"</formula>
    </cfRule>
    <cfRule type="cellIs" dxfId="0" priority="4010" operator="equal">
      <formula>"未完成"</formula>
    </cfRule>
  </conditionalFormatting>
  <conditionalFormatting sqref="AQ120">
    <cfRule type="cellIs" dxfId="1" priority="3950" operator="equal">
      <formula>"未完成"</formula>
    </cfRule>
    <cfRule type="cellIs" dxfId="0" priority="3956" operator="equal">
      <formula>"未完成"</formula>
    </cfRule>
  </conditionalFormatting>
  <conditionalFormatting sqref="AR120">
    <cfRule type="cellIs" dxfId="1" priority="3980" operator="equal">
      <formula>"未完成"</formula>
    </cfRule>
    <cfRule type="cellIs" dxfId="0" priority="3986" operator="equal">
      <formula>"未完成"</formula>
    </cfRule>
  </conditionalFormatting>
  <conditionalFormatting sqref="AS120:AT120">
    <cfRule type="cellIs" dxfId="1" priority="4016" operator="equal">
      <formula>"未完成"</formula>
    </cfRule>
    <cfRule type="cellIs" dxfId="0" priority="4022" operator="equal">
      <formula>"未完成"</formula>
    </cfRule>
  </conditionalFormatting>
  <conditionalFormatting sqref="R121">
    <cfRule type="cellIs" dxfId="0" priority="3961" operator="equal">
      <formula>"欠"</formula>
    </cfRule>
  </conditionalFormatting>
  <conditionalFormatting sqref="AC121">
    <cfRule type="cellIs" dxfId="0" priority="4027" operator="equal">
      <formula>"未完成"</formula>
    </cfRule>
  </conditionalFormatting>
  <conditionalFormatting sqref="AG121:AH121">
    <cfRule type="cellIs" dxfId="0" priority="4039" operator="equal">
      <formula>"未完成"</formula>
    </cfRule>
    <cfRule type="cellIs" dxfId="1" priority="4033" operator="equal">
      <formula>"未完成"</formula>
    </cfRule>
  </conditionalFormatting>
  <conditionalFormatting sqref="AI121">
    <cfRule type="cellIs" dxfId="0" priority="3973" operator="equal">
      <formula>"未完成"</formula>
    </cfRule>
    <cfRule type="cellIs" dxfId="1" priority="3967" operator="equal">
      <formula>"未完成"</formula>
    </cfRule>
  </conditionalFormatting>
  <conditionalFormatting sqref="AJ121">
    <cfRule type="cellIs" dxfId="0" priority="3997" operator="equal">
      <formula>"未完成"</formula>
    </cfRule>
    <cfRule type="cellIs" dxfId="1" priority="3991" operator="equal">
      <formula>"未完成"</formula>
    </cfRule>
  </conditionalFormatting>
  <conditionalFormatting sqref="AK121">
    <cfRule type="cellIs" dxfId="0" priority="3943" operator="equal">
      <formula>"未完成"</formula>
    </cfRule>
    <cfRule type="cellIs" dxfId="1" priority="3937" operator="equal">
      <formula>"未完成"</formula>
    </cfRule>
  </conditionalFormatting>
  <conditionalFormatting sqref="AN121">
    <cfRule type="cellIs" dxfId="1" priority="3925" operator="equal">
      <formula>"未完成"</formula>
    </cfRule>
    <cfRule type="cellIs" dxfId="0" priority="3931" operator="equal">
      <formula>"未完成"</formula>
    </cfRule>
  </conditionalFormatting>
  <conditionalFormatting sqref="AO121">
    <cfRule type="cellIs" dxfId="1" priority="4003" operator="equal">
      <formula>"未完成"</formula>
    </cfRule>
    <cfRule type="cellIs" dxfId="0" priority="4009" operator="equal">
      <formula>"未完成"</formula>
    </cfRule>
  </conditionalFormatting>
  <conditionalFormatting sqref="AQ121">
    <cfRule type="cellIs" dxfId="1" priority="3949" operator="equal">
      <formula>"未完成"</formula>
    </cfRule>
    <cfRule type="cellIs" dxfId="0" priority="3955" operator="equal">
      <formula>"未完成"</formula>
    </cfRule>
  </conditionalFormatting>
  <conditionalFormatting sqref="AR121">
    <cfRule type="cellIs" dxfId="1" priority="3979" operator="equal">
      <formula>"未完成"</formula>
    </cfRule>
    <cfRule type="cellIs" dxfId="0" priority="3985" operator="equal">
      <formula>"未完成"</formula>
    </cfRule>
  </conditionalFormatting>
  <conditionalFormatting sqref="AS121:AT121">
    <cfRule type="cellIs" dxfId="1" priority="4015" operator="equal">
      <formula>"未完成"</formula>
    </cfRule>
    <cfRule type="cellIs" dxfId="0" priority="4021" operator="equal">
      <formula>"未完成"</formula>
    </cfRule>
  </conditionalFormatting>
  <conditionalFormatting sqref="R122">
    <cfRule type="cellIs" dxfId="0" priority="3960" operator="equal">
      <formula>"欠"</formula>
    </cfRule>
  </conditionalFormatting>
  <conditionalFormatting sqref="AC122">
    <cfRule type="cellIs" dxfId="0" priority="4026" operator="equal">
      <formula>"未完成"</formula>
    </cfRule>
  </conditionalFormatting>
  <conditionalFormatting sqref="AG122:AH122">
    <cfRule type="cellIs" dxfId="0" priority="4038" operator="equal">
      <formula>"未完成"</formula>
    </cfRule>
    <cfRule type="cellIs" dxfId="1" priority="4032" operator="equal">
      <formula>"未完成"</formula>
    </cfRule>
  </conditionalFormatting>
  <conditionalFormatting sqref="AI122">
    <cfRule type="cellIs" dxfId="0" priority="3972" operator="equal">
      <formula>"未完成"</formula>
    </cfRule>
    <cfRule type="cellIs" dxfId="1" priority="3966" operator="equal">
      <formula>"未完成"</formula>
    </cfRule>
  </conditionalFormatting>
  <conditionalFormatting sqref="AJ122">
    <cfRule type="cellIs" dxfId="0" priority="3996" operator="equal">
      <formula>"未完成"</formula>
    </cfRule>
    <cfRule type="cellIs" dxfId="1" priority="3990" operator="equal">
      <formula>"未完成"</formula>
    </cfRule>
  </conditionalFormatting>
  <conditionalFormatting sqref="AK122">
    <cfRule type="cellIs" dxfId="0" priority="3942" operator="equal">
      <formula>"未完成"</formula>
    </cfRule>
    <cfRule type="cellIs" dxfId="1" priority="3936" operator="equal">
      <formula>"未完成"</formula>
    </cfRule>
  </conditionalFormatting>
  <conditionalFormatting sqref="AN122">
    <cfRule type="cellIs" dxfId="1" priority="3924" operator="equal">
      <formula>"未完成"</formula>
    </cfRule>
    <cfRule type="cellIs" dxfId="0" priority="3930" operator="equal">
      <formula>"未完成"</formula>
    </cfRule>
  </conditionalFormatting>
  <conditionalFormatting sqref="AO122">
    <cfRule type="cellIs" dxfId="1" priority="4002" operator="equal">
      <formula>"未完成"</formula>
    </cfRule>
    <cfRule type="cellIs" dxfId="0" priority="4008" operator="equal">
      <formula>"未完成"</formula>
    </cfRule>
  </conditionalFormatting>
  <conditionalFormatting sqref="AQ122">
    <cfRule type="cellIs" dxfId="1" priority="3948" operator="equal">
      <formula>"未完成"</formula>
    </cfRule>
    <cfRule type="cellIs" dxfId="0" priority="3954" operator="equal">
      <formula>"未完成"</formula>
    </cfRule>
  </conditionalFormatting>
  <conditionalFormatting sqref="AR122">
    <cfRule type="cellIs" dxfId="1" priority="3978" operator="equal">
      <formula>"未完成"</formula>
    </cfRule>
    <cfRule type="cellIs" dxfId="0" priority="3984" operator="equal">
      <formula>"未完成"</formula>
    </cfRule>
  </conditionalFormatting>
  <conditionalFormatting sqref="AS122:AT122">
    <cfRule type="cellIs" dxfId="1" priority="4014" operator="equal">
      <formula>"未完成"</formula>
    </cfRule>
    <cfRule type="cellIs" dxfId="0" priority="4020" operator="equal">
      <formula>"未完成"</formula>
    </cfRule>
  </conditionalFormatting>
  <conditionalFormatting sqref="AC123">
    <cfRule type="cellIs" dxfId="0" priority="4025" operator="equal">
      <formula>"未完成"</formula>
    </cfRule>
  </conditionalFormatting>
  <conditionalFormatting sqref="AG123:AH123">
    <cfRule type="cellIs" dxfId="0" priority="4037" operator="equal">
      <formula>"未完成"</formula>
    </cfRule>
    <cfRule type="cellIs" dxfId="1" priority="4031" operator="equal">
      <formula>"未完成"</formula>
    </cfRule>
  </conditionalFormatting>
  <conditionalFormatting sqref="AI123">
    <cfRule type="cellIs" dxfId="1" priority="3965" operator="equal">
      <formula>"未完成"</formula>
    </cfRule>
    <cfRule type="cellIs" dxfId="0" priority="3971" operator="equal">
      <formula>"未完成"</formula>
    </cfRule>
  </conditionalFormatting>
  <conditionalFormatting sqref="AJ123">
    <cfRule type="cellIs" dxfId="0" priority="3995" operator="equal">
      <formula>"未完成"</formula>
    </cfRule>
    <cfRule type="cellIs" dxfId="1" priority="3989" operator="equal">
      <formula>"未完成"</formula>
    </cfRule>
  </conditionalFormatting>
  <conditionalFormatting sqref="AN123">
    <cfRule type="cellIs" dxfId="1" priority="3923" operator="equal">
      <formula>"未完成"</formula>
    </cfRule>
    <cfRule type="cellIs" dxfId="0" priority="3929" operator="equal">
      <formula>"未完成"</formula>
    </cfRule>
  </conditionalFormatting>
  <conditionalFormatting sqref="AO123">
    <cfRule type="cellIs" dxfId="1" priority="4001" operator="equal">
      <formula>"未完成"</formula>
    </cfRule>
    <cfRule type="cellIs" dxfId="0" priority="4007" operator="equal">
      <formula>"未完成"</formula>
    </cfRule>
  </conditionalFormatting>
  <conditionalFormatting sqref="AQ123">
    <cfRule type="cellIs" dxfId="1" priority="3947" operator="equal">
      <formula>"未完成"</formula>
    </cfRule>
    <cfRule type="cellIs" dxfId="0" priority="3953" operator="equal">
      <formula>"未完成"</formula>
    </cfRule>
  </conditionalFormatting>
  <conditionalFormatting sqref="AR123">
    <cfRule type="cellIs" dxfId="1" priority="3977" operator="equal">
      <formula>"未完成"</formula>
    </cfRule>
    <cfRule type="cellIs" dxfId="0" priority="3983" operator="equal">
      <formula>"未完成"</formula>
    </cfRule>
  </conditionalFormatting>
  <conditionalFormatting sqref="R124">
    <cfRule type="cellIs" dxfId="0" priority="3538" operator="equal">
      <formula>"欠"</formula>
    </cfRule>
  </conditionalFormatting>
  <conditionalFormatting sqref="T124">
    <cfRule type="cellIs" dxfId="0" priority="3503" operator="equal">
      <formula>"欠"</formula>
    </cfRule>
  </conditionalFormatting>
  <conditionalFormatting sqref="AC124">
    <cfRule type="cellIs" dxfId="0" priority="3593" operator="equal">
      <formula>"未完成"</formula>
    </cfRule>
  </conditionalFormatting>
  <conditionalFormatting sqref="AG124:AH124">
    <cfRule type="cellIs" dxfId="0" priority="3603" operator="equal">
      <formula>"未完成"</formula>
    </cfRule>
    <cfRule type="cellIs" dxfId="1" priority="3598" operator="equal">
      <formula>"未完成"</formula>
    </cfRule>
  </conditionalFormatting>
  <conditionalFormatting sqref="AI124">
    <cfRule type="cellIs" dxfId="0" priority="3548" operator="equal">
      <formula>"未完成"</formula>
    </cfRule>
    <cfRule type="cellIs" dxfId="1" priority="3543" operator="equal">
      <formula>"未完成"</formula>
    </cfRule>
  </conditionalFormatting>
  <conditionalFormatting sqref="AJ124">
    <cfRule type="cellIs" dxfId="0" priority="3568" operator="equal">
      <formula>"未完成"</formula>
    </cfRule>
    <cfRule type="cellIs" dxfId="1" priority="3563" operator="equal">
      <formula>"未完成"</formula>
    </cfRule>
  </conditionalFormatting>
  <conditionalFormatting sqref="AK124">
    <cfRule type="cellIs" dxfId="0" priority="3523" operator="equal">
      <formula>"未完成"</formula>
    </cfRule>
    <cfRule type="cellIs" dxfId="1" priority="3518" operator="equal">
      <formula>"未完成"</formula>
    </cfRule>
  </conditionalFormatting>
  <conditionalFormatting sqref="AN124">
    <cfRule type="cellIs" dxfId="1" priority="3508" operator="equal">
      <formula>"未完成"</formula>
    </cfRule>
    <cfRule type="cellIs" dxfId="0" priority="3513" operator="equal">
      <formula>"未完成"</formula>
    </cfRule>
  </conditionalFormatting>
  <conditionalFormatting sqref="AO124">
    <cfRule type="cellIs" dxfId="1" priority="3573" operator="equal">
      <formula>"未完成"</formula>
    </cfRule>
    <cfRule type="cellIs" dxfId="0" priority="3578" operator="equal">
      <formula>"未完成"</formula>
    </cfRule>
  </conditionalFormatting>
  <conditionalFormatting sqref="AQ124">
    <cfRule type="cellIs" dxfId="1" priority="3528" operator="equal">
      <formula>"未完成"</formula>
    </cfRule>
    <cfRule type="cellIs" dxfId="0" priority="3533" operator="equal">
      <formula>"未完成"</formula>
    </cfRule>
  </conditionalFormatting>
  <conditionalFormatting sqref="AR124">
    <cfRule type="cellIs" dxfId="1" priority="3553" operator="equal">
      <formula>"未完成"</formula>
    </cfRule>
    <cfRule type="cellIs" dxfId="0" priority="3558" operator="equal">
      <formula>"未完成"</formula>
    </cfRule>
  </conditionalFormatting>
  <conditionalFormatting sqref="AS124:AT124">
    <cfRule type="cellIs" dxfId="1" priority="3583" operator="equal">
      <formula>"未完成"</formula>
    </cfRule>
    <cfRule type="cellIs" dxfId="0" priority="3588" operator="equal">
      <formula>"未完成"</formula>
    </cfRule>
  </conditionalFormatting>
  <conditionalFormatting sqref="R125">
    <cfRule type="cellIs" dxfId="0" priority="3537" operator="equal">
      <formula>"欠"</formula>
    </cfRule>
  </conditionalFormatting>
  <conditionalFormatting sqref="T125">
    <cfRule type="cellIs" dxfId="0" priority="3502" operator="equal">
      <formula>"欠"</formula>
    </cfRule>
  </conditionalFormatting>
  <conditionalFormatting sqref="AC125">
    <cfRule type="cellIs" dxfId="0" priority="3592" operator="equal">
      <formula>"未完成"</formula>
    </cfRule>
  </conditionalFormatting>
  <conditionalFormatting sqref="AG125:AH125">
    <cfRule type="cellIs" dxfId="0" priority="3602" operator="equal">
      <formula>"未完成"</formula>
    </cfRule>
    <cfRule type="cellIs" dxfId="1" priority="3597" operator="equal">
      <formula>"未完成"</formula>
    </cfRule>
  </conditionalFormatting>
  <conditionalFormatting sqref="AI125">
    <cfRule type="cellIs" dxfId="0" priority="3547" operator="equal">
      <formula>"未完成"</formula>
    </cfRule>
    <cfRule type="cellIs" dxfId="1" priority="3542" operator="equal">
      <formula>"未完成"</formula>
    </cfRule>
  </conditionalFormatting>
  <conditionalFormatting sqref="AJ125">
    <cfRule type="cellIs" dxfId="0" priority="3567" operator="equal">
      <formula>"未完成"</formula>
    </cfRule>
    <cfRule type="cellIs" dxfId="1" priority="3562" operator="equal">
      <formula>"未完成"</formula>
    </cfRule>
  </conditionalFormatting>
  <conditionalFormatting sqref="AK125">
    <cfRule type="cellIs" dxfId="0" priority="3522" operator="equal">
      <formula>"未完成"</formula>
    </cfRule>
    <cfRule type="cellIs" dxfId="1" priority="3517" operator="equal">
      <formula>"未完成"</formula>
    </cfRule>
  </conditionalFormatting>
  <conditionalFormatting sqref="AN125">
    <cfRule type="cellIs" dxfId="1" priority="3507" operator="equal">
      <formula>"未完成"</formula>
    </cfRule>
    <cfRule type="cellIs" dxfId="0" priority="3512" operator="equal">
      <formula>"未完成"</formula>
    </cfRule>
  </conditionalFormatting>
  <conditionalFormatting sqref="AO125">
    <cfRule type="cellIs" dxfId="1" priority="3572" operator="equal">
      <formula>"未完成"</formula>
    </cfRule>
    <cfRule type="cellIs" dxfId="0" priority="3577" operator="equal">
      <formula>"未完成"</formula>
    </cfRule>
  </conditionalFormatting>
  <conditionalFormatting sqref="AQ125">
    <cfRule type="cellIs" dxfId="1" priority="3527" operator="equal">
      <formula>"未完成"</formula>
    </cfRule>
    <cfRule type="cellIs" dxfId="0" priority="3532" operator="equal">
      <formula>"未完成"</formula>
    </cfRule>
  </conditionalFormatting>
  <conditionalFormatting sqref="AR125">
    <cfRule type="cellIs" dxfId="1" priority="3552" operator="equal">
      <formula>"未完成"</formula>
    </cfRule>
    <cfRule type="cellIs" dxfId="0" priority="3557" operator="equal">
      <formula>"未完成"</formula>
    </cfRule>
  </conditionalFormatting>
  <conditionalFormatting sqref="AS125:AT125">
    <cfRule type="cellIs" dxfId="1" priority="3582" operator="equal">
      <formula>"未完成"</formula>
    </cfRule>
    <cfRule type="cellIs" dxfId="0" priority="3587" operator="equal">
      <formula>"未完成"</formula>
    </cfRule>
  </conditionalFormatting>
  <conditionalFormatting sqref="R126">
    <cfRule type="cellIs" dxfId="0" priority="3535" operator="equal">
      <formula>"欠"</formula>
    </cfRule>
  </conditionalFormatting>
  <conditionalFormatting sqref="T126">
    <cfRule type="cellIs" dxfId="0" priority="3500" operator="equal">
      <formula>"欠"</formula>
    </cfRule>
  </conditionalFormatting>
  <conditionalFormatting sqref="AC126">
    <cfRule type="cellIs" dxfId="0" priority="3590" operator="equal">
      <formula>"未完成"</formula>
    </cfRule>
  </conditionalFormatting>
  <conditionalFormatting sqref="AG126:AH126">
    <cfRule type="cellIs" dxfId="1" priority="3595" operator="equal">
      <formula>"未完成"</formula>
    </cfRule>
    <cfRule type="cellIs" dxfId="0" priority="3600" operator="equal">
      <formula>"未完成"</formula>
    </cfRule>
  </conditionalFormatting>
  <conditionalFormatting sqref="AI126">
    <cfRule type="cellIs" dxfId="1" priority="3540" operator="equal">
      <formula>"未完成"</formula>
    </cfRule>
    <cfRule type="cellIs" dxfId="0" priority="3545" operator="equal">
      <formula>"未完成"</formula>
    </cfRule>
  </conditionalFormatting>
  <conditionalFormatting sqref="AJ126">
    <cfRule type="cellIs" dxfId="1" priority="3560" operator="equal">
      <formula>"未完成"</formula>
    </cfRule>
    <cfRule type="cellIs" dxfId="0" priority="3565" operator="equal">
      <formula>"未完成"</formula>
    </cfRule>
  </conditionalFormatting>
  <conditionalFormatting sqref="AK126">
    <cfRule type="cellIs" dxfId="1" priority="3515" operator="equal">
      <formula>"未完成"</formula>
    </cfRule>
    <cfRule type="cellIs" dxfId="0" priority="3520" operator="equal">
      <formula>"未完成"</formula>
    </cfRule>
  </conditionalFormatting>
  <conditionalFormatting sqref="AN126">
    <cfRule type="cellIs" dxfId="1" priority="3505" operator="equal">
      <formula>"未完成"</formula>
    </cfRule>
    <cfRule type="cellIs" dxfId="0" priority="3510" operator="equal">
      <formula>"未完成"</formula>
    </cfRule>
  </conditionalFormatting>
  <conditionalFormatting sqref="AO126">
    <cfRule type="cellIs" dxfId="1" priority="3570" operator="equal">
      <formula>"未完成"</formula>
    </cfRule>
    <cfRule type="cellIs" dxfId="0" priority="3575" operator="equal">
      <formula>"未完成"</formula>
    </cfRule>
  </conditionalFormatting>
  <conditionalFormatting sqref="AQ126">
    <cfRule type="cellIs" dxfId="1" priority="3525" operator="equal">
      <formula>"未完成"</formula>
    </cfRule>
    <cfRule type="cellIs" dxfId="0" priority="3530" operator="equal">
      <formula>"未完成"</formula>
    </cfRule>
  </conditionalFormatting>
  <conditionalFormatting sqref="AR126">
    <cfRule type="cellIs" dxfId="1" priority="3550" operator="equal">
      <formula>"未完成"</formula>
    </cfRule>
    <cfRule type="cellIs" dxfId="0" priority="3555" operator="equal">
      <formula>"未完成"</formula>
    </cfRule>
  </conditionalFormatting>
  <conditionalFormatting sqref="AS126:AT126">
    <cfRule type="cellIs" dxfId="1" priority="3580" operator="equal">
      <formula>"未完成"</formula>
    </cfRule>
    <cfRule type="cellIs" dxfId="0" priority="3585" operator="equal">
      <formula>"未完成"</formula>
    </cfRule>
  </conditionalFormatting>
  <conditionalFormatting sqref="R127">
    <cfRule type="cellIs" dxfId="0" priority="3534" operator="equal">
      <formula>"欠"</formula>
    </cfRule>
  </conditionalFormatting>
  <conditionalFormatting sqref="T127">
    <cfRule type="cellIs" dxfId="0" priority="3499" operator="equal">
      <formula>"欠"</formula>
    </cfRule>
  </conditionalFormatting>
  <conditionalFormatting sqref="AC127">
    <cfRule type="cellIs" dxfId="0" priority="3589" operator="equal">
      <formula>"未完成"</formula>
    </cfRule>
  </conditionalFormatting>
  <conditionalFormatting sqref="AG127:AH127">
    <cfRule type="cellIs" dxfId="1" priority="3594" operator="equal">
      <formula>"未完成"</formula>
    </cfRule>
    <cfRule type="cellIs" dxfId="0" priority="3599" operator="equal">
      <formula>"未完成"</formula>
    </cfRule>
  </conditionalFormatting>
  <conditionalFormatting sqref="AI127">
    <cfRule type="cellIs" dxfId="1" priority="3539" operator="equal">
      <formula>"未完成"</formula>
    </cfRule>
    <cfRule type="cellIs" dxfId="0" priority="3544" operator="equal">
      <formula>"未完成"</formula>
    </cfRule>
  </conditionalFormatting>
  <conditionalFormatting sqref="AJ127">
    <cfRule type="cellIs" dxfId="1" priority="3559" operator="equal">
      <formula>"未完成"</formula>
    </cfRule>
    <cfRule type="cellIs" dxfId="0" priority="3564" operator="equal">
      <formula>"未完成"</formula>
    </cfRule>
  </conditionalFormatting>
  <conditionalFormatting sqref="AK127">
    <cfRule type="cellIs" dxfId="1" priority="3514" operator="equal">
      <formula>"未完成"</formula>
    </cfRule>
    <cfRule type="cellIs" dxfId="0" priority="3519" operator="equal">
      <formula>"未完成"</formula>
    </cfRule>
  </conditionalFormatting>
  <conditionalFormatting sqref="AN127">
    <cfRule type="cellIs" dxfId="1" priority="3504" operator="equal">
      <formula>"未完成"</formula>
    </cfRule>
    <cfRule type="cellIs" dxfId="0" priority="3509" operator="equal">
      <formula>"未完成"</formula>
    </cfRule>
  </conditionalFormatting>
  <conditionalFormatting sqref="AO127">
    <cfRule type="cellIs" dxfId="1" priority="3569" operator="equal">
      <formula>"未完成"</formula>
    </cfRule>
    <cfRule type="cellIs" dxfId="0" priority="3574" operator="equal">
      <formula>"未完成"</formula>
    </cfRule>
  </conditionalFormatting>
  <conditionalFormatting sqref="AQ127">
    <cfRule type="cellIs" dxfId="1" priority="3524" operator="equal">
      <formula>"未完成"</formula>
    </cfRule>
    <cfRule type="cellIs" dxfId="0" priority="3529" operator="equal">
      <formula>"未完成"</formula>
    </cfRule>
  </conditionalFormatting>
  <conditionalFormatting sqref="AR127">
    <cfRule type="cellIs" dxfId="1" priority="3549" operator="equal">
      <formula>"未完成"</formula>
    </cfRule>
    <cfRule type="cellIs" dxfId="0" priority="3554" operator="equal">
      <formula>"未完成"</formula>
    </cfRule>
  </conditionalFormatting>
  <conditionalFormatting sqref="AS127:AT127">
    <cfRule type="cellIs" dxfId="1" priority="3579" operator="equal">
      <formula>"未完成"</formula>
    </cfRule>
    <cfRule type="cellIs" dxfId="0" priority="3584" operator="equal">
      <formula>"未完成"</formula>
    </cfRule>
  </conditionalFormatting>
  <conditionalFormatting sqref="R128">
    <cfRule type="cellIs" dxfId="0" priority="3462" operator="equal">
      <formula>"欠"</formula>
    </cfRule>
  </conditionalFormatting>
  <conditionalFormatting sqref="T128">
    <cfRule type="cellIs" dxfId="0" priority="3455" operator="equal">
      <formula>"欠"</formula>
    </cfRule>
  </conditionalFormatting>
  <conditionalFormatting sqref="AC128">
    <cfRule type="cellIs" dxfId="0" priority="3473" operator="equal">
      <formula>"未完成"</formula>
    </cfRule>
  </conditionalFormatting>
  <conditionalFormatting sqref="AG128:AH128">
    <cfRule type="cellIs" dxfId="1" priority="3474" operator="equal">
      <formula>"未完成"</formula>
    </cfRule>
    <cfRule type="cellIs" dxfId="0" priority="3475" operator="equal">
      <formula>"未完成"</formula>
    </cfRule>
  </conditionalFormatting>
  <conditionalFormatting sqref="AI128">
    <cfRule type="cellIs" dxfId="1" priority="3463" operator="equal">
      <formula>"未完成"</formula>
    </cfRule>
    <cfRule type="cellIs" dxfId="0" priority="3464" operator="equal">
      <formula>"未完成"</formula>
    </cfRule>
  </conditionalFormatting>
  <conditionalFormatting sqref="AJ128">
    <cfRule type="cellIs" dxfId="1" priority="3467" operator="equal">
      <formula>"未完成"</formula>
    </cfRule>
    <cfRule type="cellIs" dxfId="0" priority="3468" operator="equal">
      <formula>"未完成"</formula>
    </cfRule>
  </conditionalFormatting>
  <conditionalFormatting sqref="AK128">
    <cfRule type="cellIs" dxfId="1" priority="3458" operator="equal">
      <formula>"未完成"</formula>
    </cfRule>
    <cfRule type="cellIs" dxfId="0" priority="3459" operator="equal">
      <formula>"未完成"</formula>
    </cfRule>
  </conditionalFormatting>
  <conditionalFormatting sqref="AN128">
    <cfRule type="cellIs" dxfId="1" priority="3456" operator="equal">
      <formula>"未完成"</formula>
    </cfRule>
    <cfRule type="cellIs" dxfId="0" priority="3457" operator="equal">
      <formula>"未完成"</formula>
    </cfRule>
  </conditionalFormatting>
  <conditionalFormatting sqref="AO128">
    <cfRule type="cellIs" dxfId="1" priority="3469" operator="equal">
      <formula>"未完成"</formula>
    </cfRule>
    <cfRule type="cellIs" dxfId="0" priority="3470" operator="equal">
      <formula>"未完成"</formula>
    </cfRule>
  </conditionalFormatting>
  <conditionalFormatting sqref="AQ128">
    <cfRule type="cellIs" dxfId="1" priority="3460" operator="equal">
      <formula>"未完成"</formula>
    </cfRule>
    <cfRule type="cellIs" dxfId="0" priority="3461" operator="equal">
      <formula>"未完成"</formula>
    </cfRule>
  </conditionalFormatting>
  <conditionalFormatting sqref="AR128">
    <cfRule type="cellIs" dxfId="1" priority="3465" operator="equal">
      <formula>"未完成"</formula>
    </cfRule>
    <cfRule type="cellIs" dxfId="0" priority="3466" operator="equal">
      <formula>"未完成"</formula>
    </cfRule>
  </conditionalFormatting>
  <conditionalFormatting sqref="AS128:AT128">
    <cfRule type="cellIs" dxfId="1" priority="3471" operator="equal">
      <formula>"未完成"</formula>
    </cfRule>
    <cfRule type="cellIs" dxfId="0" priority="3472" operator="equal">
      <formula>"未完成"</formula>
    </cfRule>
  </conditionalFormatting>
  <conditionalFormatting sqref="R129">
    <cfRule type="cellIs" dxfId="0" priority="3389" operator="equal">
      <formula>"欠"</formula>
    </cfRule>
  </conditionalFormatting>
  <conditionalFormatting sqref="T129">
    <cfRule type="cellIs" dxfId="0" priority="3354" operator="equal">
      <formula>"欠"</formula>
    </cfRule>
  </conditionalFormatting>
  <conditionalFormatting sqref="AC129">
    <cfRule type="cellIs" dxfId="0" priority="3444" operator="equal">
      <formula>"未完成"</formula>
    </cfRule>
  </conditionalFormatting>
  <conditionalFormatting sqref="AG129:AH129">
    <cfRule type="cellIs" dxfId="0" priority="3454" operator="equal">
      <formula>"未完成"</formula>
    </cfRule>
    <cfRule type="cellIs" dxfId="1" priority="3449" operator="equal">
      <formula>"未完成"</formula>
    </cfRule>
  </conditionalFormatting>
  <conditionalFormatting sqref="AI129">
    <cfRule type="cellIs" dxfId="0" priority="3399" operator="equal">
      <formula>"未完成"</formula>
    </cfRule>
    <cfRule type="cellIs" dxfId="1" priority="3394" operator="equal">
      <formula>"未完成"</formula>
    </cfRule>
  </conditionalFormatting>
  <conditionalFormatting sqref="AJ129">
    <cfRule type="cellIs" dxfId="0" priority="3419" operator="equal">
      <formula>"未完成"</formula>
    </cfRule>
    <cfRule type="cellIs" dxfId="1" priority="3414" operator="equal">
      <formula>"未完成"</formula>
    </cfRule>
  </conditionalFormatting>
  <conditionalFormatting sqref="AK129">
    <cfRule type="cellIs" dxfId="0" priority="3374" operator="equal">
      <formula>"未完成"</formula>
    </cfRule>
    <cfRule type="cellIs" dxfId="1" priority="3369" operator="equal">
      <formula>"未完成"</formula>
    </cfRule>
  </conditionalFormatting>
  <conditionalFormatting sqref="AN129">
    <cfRule type="cellIs" dxfId="0" priority="3364" operator="equal">
      <formula>"未完成"</formula>
    </cfRule>
    <cfRule type="cellIs" dxfId="1" priority="3359" operator="equal">
      <formula>"未完成"</formula>
    </cfRule>
  </conditionalFormatting>
  <conditionalFormatting sqref="AO129">
    <cfRule type="cellIs" dxfId="0" priority="3429" operator="equal">
      <formula>"未完成"</formula>
    </cfRule>
    <cfRule type="cellIs" dxfId="1" priority="3424" operator="equal">
      <formula>"未完成"</formula>
    </cfRule>
  </conditionalFormatting>
  <conditionalFormatting sqref="AQ129">
    <cfRule type="cellIs" dxfId="0" priority="3384" operator="equal">
      <formula>"未完成"</formula>
    </cfRule>
    <cfRule type="cellIs" dxfId="1" priority="3379" operator="equal">
      <formula>"未完成"</formula>
    </cfRule>
  </conditionalFormatting>
  <conditionalFormatting sqref="AR129">
    <cfRule type="cellIs" dxfId="0" priority="3409" operator="equal">
      <formula>"未完成"</formula>
    </cfRule>
    <cfRule type="cellIs" dxfId="1" priority="3404" operator="equal">
      <formula>"未完成"</formula>
    </cfRule>
  </conditionalFormatting>
  <conditionalFormatting sqref="AS129:AT129">
    <cfRule type="cellIs" dxfId="0" priority="3439" operator="equal">
      <formula>"未完成"</formula>
    </cfRule>
    <cfRule type="cellIs" dxfId="1" priority="3434" operator="equal">
      <formula>"未完成"</formula>
    </cfRule>
  </conditionalFormatting>
  <conditionalFormatting sqref="R130">
    <cfRule type="cellIs" dxfId="0" priority="3388" operator="equal">
      <formula>"欠"</formula>
    </cfRule>
  </conditionalFormatting>
  <conditionalFormatting sqref="T130">
    <cfRule type="cellIs" dxfId="0" priority="3353" operator="equal">
      <formula>"欠"</formula>
    </cfRule>
  </conditionalFormatting>
  <conditionalFormatting sqref="AC130">
    <cfRule type="cellIs" dxfId="0" priority="3443" operator="equal">
      <formula>"未完成"</formula>
    </cfRule>
  </conditionalFormatting>
  <conditionalFormatting sqref="AG130:AH130">
    <cfRule type="cellIs" dxfId="0" priority="3453" operator="equal">
      <formula>"未完成"</formula>
    </cfRule>
    <cfRule type="cellIs" dxfId="1" priority="3448" operator="equal">
      <formula>"未完成"</formula>
    </cfRule>
  </conditionalFormatting>
  <conditionalFormatting sqref="AI130">
    <cfRule type="cellIs" dxfId="0" priority="3398" operator="equal">
      <formula>"未完成"</formula>
    </cfRule>
    <cfRule type="cellIs" dxfId="1" priority="3393" operator="equal">
      <formula>"未完成"</formula>
    </cfRule>
  </conditionalFormatting>
  <conditionalFormatting sqref="AJ130">
    <cfRule type="cellIs" dxfId="0" priority="3418" operator="equal">
      <formula>"未完成"</formula>
    </cfRule>
    <cfRule type="cellIs" dxfId="1" priority="3413" operator="equal">
      <formula>"未完成"</formula>
    </cfRule>
  </conditionalFormatting>
  <conditionalFormatting sqref="AK130">
    <cfRule type="cellIs" dxfId="0" priority="3373" operator="equal">
      <formula>"未完成"</formula>
    </cfRule>
    <cfRule type="cellIs" dxfId="1" priority="3368" operator="equal">
      <formula>"未完成"</formula>
    </cfRule>
  </conditionalFormatting>
  <conditionalFormatting sqref="AN130">
    <cfRule type="cellIs" dxfId="0" priority="3363" operator="equal">
      <formula>"未完成"</formula>
    </cfRule>
    <cfRule type="cellIs" dxfId="1" priority="3358" operator="equal">
      <formula>"未完成"</formula>
    </cfRule>
  </conditionalFormatting>
  <conditionalFormatting sqref="AO130">
    <cfRule type="cellIs" dxfId="0" priority="3428" operator="equal">
      <formula>"未完成"</formula>
    </cfRule>
    <cfRule type="cellIs" dxfId="1" priority="3423" operator="equal">
      <formula>"未完成"</formula>
    </cfRule>
  </conditionalFormatting>
  <conditionalFormatting sqref="AQ130">
    <cfRule type="cellIs" dxfId="0" priority="3383" operator="equal">
      <formula>"未完成"</formula>
    </cfRule>
    <cfRule type="cellIs" dxfId="1" priority="3378" operator="equal">
      <formula>"未完成"</formula>
    </cfRule>
  </conditionalFormatting>
  <conditionalFormatting sqref="AR130">
    <cfRule type="cellIs" dxfId="0" priority="3408" operator="equal">
      <formula>"未完成"</formula>
    </cfRule>
    <cfRule type="cellIs" dxfId="1" priority="3403" operator="equal">
      <formula>"未完成"</formula>
    </cfRule>
  </conditionalFormatting>
  <conditionalFormatting sqref="AS130:AT130">
    <cfRule type="cellIs" dxfId="0" priority="3438" operator="equal">
      <formula>"未完成"</formula>
    </cfRule>
    <cfRule type="cellIs" dxfId="1" priority="3433" operator="equal">
      <formula>"未完成"</formula>
    </cfRule>
  </conditionalFormatting>
  <conditionalFormatting sqref="R131">
    <cfRule type="cellIs" dxfId="0" priority="3387" operator="equal">
      <formula>"欠"</formula>
    </cfRule>
  </conditionalFormatting>
  <conditionalFormatting sqref="T131">
    <cfRule type="cellIs" dxfId="0" priority="3352" operator="equal">
      <formula>"欠"</formula>
    </cfRule>
  </conditionalFormatting>
  <conditionalFormatting sqref="AC131">
    <cfRule type="cellIs" dxfId="0" priority="3442" operator="equal">
      <formula>"未完成"</formula>
    </cfRule>
  </conditionalFormatting>
  <conditionalFormatting sqref="AG131:AH131">
    <cfRule type="cellIs" dxfId="0" priority="3452" operator="equal">
      <formula>"未完成"</formula>
    </cfRule>
    <cfRule type="cellIs" dxfId="1" priority="3447" operator="equal">
      <formula>"未完成"</formula>
    </cfRule>
  </conditionalFormatting>
  <conditionalFormatting sqref="AI131">
    <cfRule type="cellIs" dxfId="0" priority="3397" operator="equal">
      <formula>"未完成"</formula>
    </cfRule>
    <cfRule type="cellIs" dxfId="1" priority="3392" operator="equal">
      <formula>"未完成"</formula>
    </cfRule>
  </conditionalFormatting>
  <conditionalFormatting sqref="AJ131">
    <cfRule type="cellIs" dxfId="0" priority="3417" operator="equal">
      <formula>"未完成"</formula>
    </cfRule>
    <cfRule type="cellIs" dxfId="1" priority="3412" operator="equal">
      <formula>"未完成"</formula>
    </cfRule>
  </conditionalFormatting>
  <conditionalFormatting sqref="AK131">
    <cfRule type="cellIs" dxfId="0" priority="3372" operator="equal">
      <formula>"未完成"</formula>
    </cfRule>
    <cfRule type="cellIs" dxfId="1" priority="3367" operator="equal">
      <formula>"未完成"</formula>
    </cfRule>
  </conditionalFormatting>
  <conditionalFormatting sqref="AN131">
    <cfRule type="cellIs" dxfId="0" priority="3362" operator="equal">
      <formula>"未完成"</formula>
    </cfRule>
    <cfRule type="cellIs" dxfId="1" priority="3357" operator="equal">
      <formula>"未完成"</formula>
    </cfRule>
  </conditionalFormatting>
  <conditionalFormatting sqref="AO131">
    <cfRule type="cellIs" dxfId="0" priority="3427" operator="equal">
      <formula>"未完成"</formula>
    </cfRule>
    <cfRule type="cellIs" dxfId="1" priority="3422" operator="equal">
      <formula>"未完成"</formula>
    </cfRule>
  </conditionalFormatting>
  <conditionalFormatting sqref="AQ131">
    <cfRule type="cellIs" dxfId="0" priority="3382" operator="equal">
      <formula>"未完成"</formula>
    </cfRule>
    <cfRule type="cellIs" dxfId="1" priority="3377" operator="equal">
      <formula>"未完成"</formula>
    </cfRule>
  </conditionalFormatting>
  <conditionalFormatting sqref="AR131">
    <cfRule type="cellIs" dxfId="0" priority="3407" operator="equal">
      <formula>"未完成"</formula>
    </cfRule>
    <cfRule type="cellIs" dxfId="1" priority="3402" operator="equal">
      <formula>"未完成"</formula>
    </cfRule>
  </conditionalFormatting>
  <conditionalFormatting sqref="AS131:AT131">
    <cfRule type="cellIs" dxfId="0" priority="3437" operator="equal">
      <formula>"未完成"</formula>
    </cfRule>
    <cfRule type="cellIs" dxfId="1" priority="3432" operator="equal">
      <formula>"未完成"</formula>
    </cfRule>
  </conditionalFormatting>
  <conditionalFormatting sqref="R132">
    <cfRule type="cellIs" dxfId="0" priority="3386" operator="equal">
      <formula>"欠"</formula>
    </cfRule>
  </conditionalFormatting>
  <conditionalFormatting sqref="T132">
    <cfRule type="cellIs" dxfId="0" priority="3351" operator="equal">
      <formula>"欠"</formula>
    </cfRule>
  </conditionalFormatting>
  <conditionalFormatting sqref="AC132">
    <cfRule type="cellIs" dxfId="0" priority="3441" operator="equal">
      <formula>"未完成"</formula>
    </cfRule>
  </conditionalFormatting>
  <conditionalFormatting sqref="AG132:AH132">
    <cfRule type="cellIs" dxfId="0" priority="3451" operator="equal">
      <formula>"未完成"</formula>
    </cfRule>
    <cfRule type="cellIs" dxfId="1" priority="3446" operator="equal">
      <formula>"未完成"</formula>
    </cfRule>
  </conditionalFormatting>
  <conditionalFormatting sqref="AI132">
    <cfRule type="cellIs" dxfId="0" priority="3396" operator="equal">
      <formula>"未完成"</formula>
    </cfRule>
    <cfRule type="cellIs" dxfId="1" priority="3391" operator="equal">
      <formula>"未完成"</formula>
    </cfRule>
  </conditionalFormatting>
  <conditionalFormatting sqref="AJ132">
    <cfRule type="cellIs" dxfId="0" priority="3416" operator="equal">
      <formula>"未完成"</formula>
    </cfRule>
    <cfRule type="cellIs" dxfId="1" priority="3411" operator="equal">
      <formula>"未完成"</formula>
    </cfRule>
  </conditionalFormatting>
  <conditionalFormatting sqref="AK132">
    <cfRule type="cellIs" dxfId="0" priority="3371" operator="equal">
      <formula>"未完成"</formula>
    </cfRule>
    <cfRule type="cellIs" dxfId="1" priority="3366" operator="equal">
      <formula>"未完成"</formula>
    </cfRule>
  </conditionalFormatting>
  <conditionalFormatting sqref="AN132">
    <cfRule type="cellIs" dxfId="0" priority="3361" operator="equal">
      <formula>"未完成"</formula>
    </cfRule>
    <cfRule type="cellIs" dxfId="1" priority="3356" operator="equal">
      <formula>"未完成"</formula>
    </cfRule>
  </conditionalFormatting>
  <conditionalFormatting sqref="AO132">
    <cfRule type="cellIs" dxfId="0" priority="3426" operator="equal">
      <formula>"未完成"</formula>
    </cfRule>
    <cfRule type="cellIs" dxfId="1" priority="3421" operator="equal">
      <formula>"未完成"</formula>
    </cfRule>
  </conditionalFormatting>
  <conditionalFormatting sqref="AQ132">
    <cfRule type="cellIs" dxfId="0" priority="3381" operator="equal">
      <formula>"未完成"</formula>
    </cfRule>
    <cfRule type="cellIs" dxfId="1" priority="3376" operator="equal">
      <formula>"未完成"</formula>
    </cfRule>
  </conditionalFormatting>
  <conditionalFormatting sqref="AR132">
    <cfRule type="cellIs" dxfId="0" priority="3406" operator="equal">
      <formula>"未完成"</formula>
    </cfRule>
    <cfRule type="cellIs" dxfId="1" priority="3401" operator="equal">
      <formula>"未完成"</formula>
    </cfRule>
  </conditionalFormatting>
  <conditionalFormatting sqref="AS132:AT132">
    <cfRule type="cellIs" dxfId="0" priority="3436" operator="equal">
      <formula>"未完成"</formula>
    </cfRule>
    <cfRule type="cellIs" dxfId="1" priority="3431" operator="equal">
      <formula>"未完成"</formula>
    </cfRule>
  </conditionalFormatting>
  <conditionalFormatting sqref="R133">
    <cfRule type="cellIs" dxfId="0" priority="3385" operator="equal">
      <formula>"欠"</formula>
    </cfRule>
  </conditionalFormatting>
  <conditionalFormatting sqref="T133">
    <cfRule type="cellIs" dxfId="0" priority="3350" operator="equal">
      <formula>"欠"</formula>
    </cfRule>
  </conditionalFormatting>
  <conditionalFormatting sqref="AC133">
    <cfRule type="cellIs" dxfId="0" priority="3440" operator="equal">
      <formula>"未完成"</formula>
    </cfRule>
  </conditionalFormatting>
  <conditionalFormatting sqref="AG133:AH133">
    <cfRule type="cellIs" dxfId="0" priority="3450" operator="equal">
      <formula>"未完成"</formula>
    </cfRule>
    <cfRule type="cellIs" dxfId="1" priority="3445" operator="equal">
      <formula>"未完成"</formula>
    </cfRule>
  </conditionalFormatting>
  <conditionalFormatting sqref="AI133">
    <cfRule type="cellIs" dxfId="0" priority="3395" operator="equal">
      <formula>"未完成"</formula>
    </cfRule>
    <cfRule type="cellIs" dxfId="1" priority="3390" operator="equal">
      <formula>"未完成"</formula>
    </cfRule>
  </conditionalFormatting>
  <conditionalFormatting sqref="AJ133">
    <cfRule type="cellIs" dxfId="0" priority="3415" operator="equal">
      <formula>"未完成"</formula>
    </cfRule>
    <cfRule type="cellIs" dxfId="1" priority="3410" operator="equal">
      <formula>"未完成"</formula>
    </cfRule>
  </conditionalFormatting>
  <conditionalFormatting sqref="AK133">
    <cfRule type="cellIs" dxfId="0" priority="3370" operator="equal">
      <formula>"未完成"</formula>
    </cfRule>
    <cfRule type="cellIs" dxfId="1" priority="3365" operator="equal">
      <formula>"未完成"</formula>
    </cfRule>
  </conditionalFormatting>
  <conditionalFormatting sqref="AN133">
    <cfRule type="cellIs" dxfId="0" priority="3360" operator="equal">
      <formula>"未完成"</formula>
    </cfRule>
    <cfRule type="cellIs" dxfId="1" priority="3355" operator="equal">
      <formula>"未完成"</formula>
    </cfRule>
  </conditionalFormatting>
  <conditionalFormatting sqref="AO133">
    <cfRule type="cellIs" dxfId="0" priority="3425" operator="equal">
      <formula>"未完成"</formula>
    </cfRule>
    <cfRule type="cellIs" dxfId="1" priority="3420" operator="equal">
      <formula>"未完成"</formula>
    </cfRule>
  </conditionalFormatting>
  <conditionalFormatting sqref="AQ133">
    <cfRule type="cellIs" dxfId="0" priority="3380" operator="equal">
      <formula>"未完成"</formula>
    </cfRule>
    <cfRule type="cellIs" dxfId="1" priority="3375" operator="equal">
      <formula>"未完成"</formula>
    </cfRule>
  </conditionalFormatting>
  <conditionalFormatting sqref="AR133">
    <cfRule type="cellIs" dxfId="0" priority="3405" operator="equal">
      <formula>"未完成"</formula>
    </cfRule>
    <cfRule type="cellIs" dxfId="1" priority="3400" operator="equal">
      <formula>"未完成"</formula>
    </cfRule>
  </conditionalFormatting>
  <conditionalFormatting sqref="AS133:AT133">
    <cfRule type="cellIs" dxfId="0" priority="3435" operator="equal">
      <formula>"未完成"</formula>
    </cfRule>
    <cfRule type="cellIs" dxfId="1" priority="3430" operator="equal">
      <formula>"未完成"</formula>
    </cfRule>
  </conditionalFormatting>
  <conditionalFormatting sqref="R134">
    <cfRule type="cellIs" dxfId="0" priority="3232" operator="equal">
      <formula>"欠"</formula>
    </cfRule>
  </conditionalFormatting>
  <conditionalFormatting sqref="T134">
    <cfRule type="cellIs" dxfId="0" priority="3169" operator="equal">
      <formula>"欠"</formula>
    </cfRule>
  </conditionalFormatting>
  <conditionalFormatting sqref="AC134">
    <cfRule type="cellIs" dxfId="0" priority="3331" operator="equal">
      <formula>"未完成"</formula>
    </cfRule>
  </conditionalFormatting>
  <conditionalFormatting sqref="AG134:AH134">
    <cfRule type="cellIs" dxfId="0" priority="3349" operator="equal">
      <formula>"未完成"</formula>
    </cfRule>
    <cfRule type="cellIs" dxfId="1" priority="3340" operator="equal">
      <formula>"未完成"</formula>
    </cfRule>
  </conditionalFormatting>
  <conditionalFormatting sqref="AI134">
    <cfRule type="cellIs" dxfId="0" priority="3250" operator="equal">
      <formula>"未完成"</formula>
    </cfRule>
    <cfRule type="cellIs" dxfId="1" priority="3241" operator="equal">
      <formula>"未完成"</formula>
    </cfRule>
  </conditionalFormatting>
  <conditionalFormatting sqref="AJ134">
    <cfRule type="cellIs" dxfId="0" priority="3286" operator="equal">
      <formula>"未完成"</formula>
    </cfRule>
    <cfRule type="cellIs" dxfId="1" priority="3277" operator="equal">
      <formula>"未完成"</formula>
    </cfRule>
  </conditionalFormatting>
  <conditionalFormatting sqref="AK134">
    <cfRule type="cellIs" dxfId="0" priority="3205" operator="equal">
      <formula>"未完成"</formula>
    </cfRule>
    <cfRule type="cellIs" dxfId="1" priority="3196" operator="equal">
      <formula>"未完成"</formula>
    </cfRule>
  </conditionalFormatting>
  <conditionalFormatting sqref="AN134">
    <cfRule type="cellIs" dxfId="0" priority="3187" operator="equal">
      <formula>"未完成"</formula>
    </cfRule>
    <cfRule type="cellIs" dxfId="1" priority="3178" operator="equal">
      <formula>"未完成"</formula>
    </cfRule>
  </conditionalFormatting>
  <conditionalFormatting sqref="AO134">
    <cfRule type="cellIs" dxfId="0" priority="3304" operator="equal">
      <formula>"未完成"</formula>
    </cfRule>
    <cfRule type="cellIs" dxfId="1" priority="3295" operator="equal">
      <formula>"未完成"</formula>
    </cfRule>
  </conditionalFormatting>
  <conditionalFormatting sqref="AQ134">
    <cfRule type="cellIs" dxfId="0" priority="3223" operator="equal">
      <formula>"未完成"</formula>
    </cfRule>
    <cfRule type="cellIs" dxfId="1" priority="3214" operator="equal">
      <formula>"未完成"</formula>
    </cfRule>
  </conditionalFormatting>
  <conditionalFormatting sqref="AR134">
    <cfRule type="cellIs" dxfId="0" priority="3268" operator="equal">
      <formula>"未完成"</formula>
    </cfRule>
    <cfRule type="cellIs" dxfId="1" priority="3259" operator="equal">
      <formula>"未完成"</formula>
    </cfRule>
  </conditionalFormatting>
  <conditionalFormatting sqref="AS134:AT134">
    <cfRule type="cellIs" dxfId="0" priority="3322" operator="equal">
      <formula>"未完成"</formula>
    </cfRule>
    <cfRule type="cellIs" dxfId="1" priority="3313" operator="equal">
      <formula>"未完成"</formula>
    </cfRule>
  </conditionalFormatting>
  <conditionalFormatting sqref="R135">
    <cfRule type="cellIs" dxfId="0" priority="3231" operator="equal">
      <formula>"欠"</formula>
    </cfRule>
  </conditionalFormatting>
  <conditionalFormatting sqref="T135">
    <cfRule type="cellIs" dxfId="0" priority="3168" operator="equal">
      <formula>"欠"</formula>
    </cfRule>
  </conditionalFormatting>
  <conditionalFormatting sqref="AC135">
    <cfRule type="cellIs" dxfId="0" priority="3330" operator="equal">
      <formula>"未完成"</formula>
    </cfRule>
  </conditionalFormatting>
  <conditionalFormatting sqref="AG135:AH135">
    <cfRule type="cellIs" dxfId="0" priority="3348" operator="equal">
      <formula>"未完成"</formula>
    </cfRule>
    <cfRule type="cellIs" dxfId="1" priority="3339" operator="equal">
      <formula>"未完成"</formula>
    </cfRule>
  </conditionalFormatting>
  <conditionalFormatting sqref="AI135">
    <cfRule type="cellIs" dxfId="0" priority="3249" operator="equal">
      <formula>"未完成"</formula>
    </cfRule>
    <cfRule type="cellIs" dxfId="1" priority="3240" operator="equal">
      <formula>"未完成"</formula>
    </cfRule>
  </conditionalFormatting>
  <conditionalFormatting sqref="AJ135">
    <cfRule type="cellIs" dxfId="0" priority="3285" operator="equal">
      <formula>"未完成"</formula>
    </cfRule>
    <cfRule type="cellIs" dxfId="1" priority="3276" operator="equal">
      <formula>"未完成"</formula>
    </cfRule>
  </conditionalFormatting>
  <conditionalFormatting sqref="AK135">
    <cfRule type="cellIs" dxfId="0" priority="3204" operator="equal">
      <formula>"未完成"</formula>
    </cfRule>
    <cfRule type="cellIs" dxfId="1" priority="3195" operator="equal">
      <formula>"未完成"</formula>
    </cfRule>
  </conditionalFormatting>
  <conditionalFormatting sqref="AN135">
    <cfRule type="cellIs" dxfId="0" priority="3186" operator="equal">
      <formula>"未完成"</formula>
    </cfRule>
    <cfRule type="cellIs" dxfId="1" priority="3177" operator="equal">
      <formula>"未完成"</formula>
    </cfRule>
  </conditionalFormatting>
  <conditionalFormatting sqref="AO135">
    <cfRule type="cellIs" dxfId="0" priority="3303" operator="equal">
      <formula>"未完成"</formula>
    </cfRule>
    <cfRule type="cellIs" dxfId="1" priority="3294" operator="equal">
      <formula>"未完成"</formula>
    </cfRule>
  </conditionalFormatting>
  <conditionalFormatting sqref="AQ135">
    <cfRule type="cellIs" dxfId="0" priority="3222" operator="equal">
      <formula>"未完成"</formula>
    </cfRule>
    <cfRule type="cellIs" dxfId="1" priority="3213" operator="equal">
      <formula>"未完成"</formula>
    </cfRule>
  </conditionalFormatting>
  <conditionalFormatting sqref="AR135">
    <cfRule type="cellIs" dxfId="0" priority="3267" operator="equal">
      <formula>"未完成"</formula>
    </cfRule>
    <cfRule type="cellIs" dxfId="1" priority="3258" operator="equal">
      <formula>"未完成"</formula>
    </cfRule>
  </conditionalFormatting>
  <conditionalFormatting sqref="AS135:AT135">
    <cfRule type="cellIs" dxfId="0" priority="3321" operator="equal">
      <formula>"未完成"</formula>
    </cfRule>
    <cfRule type="cellIs" dxfId="1" priority="3312" operator="equal">
      <formula>"未完成"</formula>
    </cfRule>
  </conditionalFormatting>
  <conditionalFormatting sqref="R136">
    <cfRule type="cellIs" dxfId="0" priority="3230" operator="equal">
      <formula>"欠"</formula>
    </cfRule>
  </conditionalFormatting>
  <conditionalFormatting sqref="T136">
    <cfRule type="cellIs" dxfId="0" priority="3167" operator="equal">
      <formula>"欠"</formula>
    </cfRule>
  </conditionalFormatting>
  <conditionalFormatting sqref="AC136">
    <cfRule type="cellIs" dxfId="0" priority="3329" operator="equal">
      <formula>"未完成"</formula>
    </cfRule>
  </conditionalFormatting>
  <conditionalFormatting sqref="AG136:AH136">
    <cfRule type="cellIs" dxfId="0" priority="3347" operator="equal">
      <formula>"未完成"</formula>
    </cfRule>
    <cfRule type="cellIs" dxfId="1" priority="3338" operator="equal">
      <formula>"未完成"</formula>
    </cfRule>
  </conditionalFormatting>
  <conditionalFormatting sqref="AI136">
    <cfRule type="cellIs" dxfId="0" priority="3248" operator="equal">
      <formula>"未完成"</formula>
    </cfRule>
    <cfRule type="cellIs" dxfId="1" priority="3239" operator="equal">
      <formula>"未完成"</formula>
    </cfRule>
  </conditionalFormatting>
  <conditionalFormatting sqref="AJ136">
    <cfRule type="cellIs" dxfId="0" priority="3284" operator="equal">
      <formula>"未完成"</formula>
    </cfRule>
    <cfRule type="cellIs" dxfId="1" priority="3275" operator="equal">
      <formula>"未完成"</formula>
    </cfRule>
  </conditionalFormatting>
  <conditionalFormatting sqref="AK136">
    <cfRule type="cellIs" dxfId="0" priority="3203" operator="equal">
      <formula>"未完成"</formula>
    </cfRule>
    <cfRule type="cellIs" dxfId="1" priority="3194" operator="equal">
      <formula>"未完成"</formula>
    </cfRule>
  </conditionalFormatting>
  <conditionalFormatting sqref="AN136">
    <cfRule type="cellIs" dxfId="0" priority="3185" operator="equal">
      <formula>"未完成"</formula>
    </cfRule>
    <cfRule type="cellIs" dxfId="1" priority="3176" operator="equal">
      <formula>"未完成"</formula>
    </cfRule>
  </conditionalFormatting>
  <conditionalFormatting sqref="AO136">
    <cfRule type="cellIs" dxfId="0" priority="3302" operator="equal">
      <formula>"未完成"</formula>
    </cfRule>
    <cfRule type="cellIs" dxfId="1" priority="3293" operator="equal">
      <formula>"未完成"</formula>
    </cfRule>
  </conditionalFormatting>
  <conditionalFormatting sqref="AQ136">
    <cfRule type="cellIs" dxfId="0" priority="3221" operator="equal">
      <formula>"未完成"</formula>
    </cfRule>
    <cfRule type="cellIs" dxfId="1" priority="3212" operator="equal">
      <formula>"未完成"</formula>
    </cfRule>
  </conditionalFormatting>
  <conditionalFormatting sqref="AR136">
    <cfRule type="cellIs" dxfId="0" priority="3266" operator="equal">
      <formula>"未完成"</formula>
    </cfRule>
    <cfRule type="cellIs" dxfId="1" priority="3257" operator="equal">
      <formula>"未完成"</formula>
    </cfRule>
  </conditionalFormatting>
  <conditionalFormatting sqref="AS136:AT136">
    <cfRule type="cellIs" dxfId="0" priority="3320" operator="equal">
      <formula>"未完成"</formula>
    </cfRule>
    <cfRule type="cellIs" dxfId="1" priority="3311" operator="equal">
      <formula>"未完成"</formula>
    </cfRule>
  </conditionalFormatting>
  <conditionalFormatting sqref="R137">
    <cfRule type="cellIs" dxfId="0" priority="3229" operator="equal">
      <formula>"欠"</formula>
    </cfRule>
  </conditionalFormatting>
  <conditionalFormatting sqref="T137">
    <cfRule type="cellIs" dxfId="0" priority="3166" operator="equal">
      <formula>"欠"</formula>
    </cfRule>
  </conditionalFormatting>
  <conditionalFormatting sqref="AC137">
    <cfRule type="cellIs" dxfId="0" priority="3328" operator="equal">
      <formula>"未完成"</formula>
    </cfRule>
  </conditionalFormatting>
  <conditionalFormatting sqref="AG137:AH137">
    <cfRule type="cellIs" dxfId="0" priority="3346" operator="equal">
      <formula>"未完成"</formula>
    </cfRule>
    <cfRule type="cellIs" dxfId="1" priority="3337" operator="equal">
      <formula>"未完成"</formula>
    </cfRule>
  </conditionalFormatting>
  <conditionalFormatting sqref="AI137">
    <cfRule type="cellIs" dxfId="0" priority="3247" operator="equal">
      <formula>"未完成"</formula>
    </cfRule>
    <cfRule type="cellIs" dxfId="1" priority="3238" operator="equal">
      <formula>"未完成"</formula>
    </cfRule>
  </conditionalFormatting>
  <conditionalFormatting sqref="AJ137">
    <cfRule type="cellIs" dxfId="0" priority="3283" operator="equal">
      <formula>"未完成"</formula>
    </cfRule>
    <cfRule type="cellIs" dxfId="1" priority="3274" operator="equal">
      <formula>"未完成"</formula>
    </cfRule>
  </conditionalFormatting>
  <conditionalFormatting sqref="AK137">
    <cfRule type="cellIs" dxfId="0" priority="3202" operator="equal">
      <formula>"未完成"</formula>
    </cfRule>
    <cfRule type="cellIs" dxfId="1" priority="3193" operator="equal">
      <formula>"未完成"</formula>
    </cfRule>
  </conditionalFormatting>
  <conditionalFormatting sqref="AN137">
    <cfRule type="cellIs" dxfId="0" priority="3184" operator="equal">
      <formula>"未完成"</formula>
    </cfRule>
    <cfRule type="cellIs" dxfId="1" priority="3175" operator="equal">
      <formula>"未完成"</formula>
    </cfRule>
  </conditionalFormatting>
  <conditionalFormatting sqref="AO137">
    <cfRule type="cellIs" dxfId="0" priority="3301" operator="equal">
      <formula>"未完成"</formula>
    </cfRule>
    <cfRule type="cellIs" dxfId="1" priority="3292" operator="equal">
      <formula>"未完成"</formula>
    </cfRule>
  </conditionalFormatting>
  <conditionalFormatting sqref="AQ137">
    <cfRule type="cellIs" dxfId="0" priority="3220" operator="equal">
      <formula>"未完成"</formula>
    </cfRule>
    <cfRule type="cellIs" dxfId="1" priority="3211" operator="equal">
      <formula>"未完成"</formula>
    </cfRule>
  </conditionalFormatting>
  <conditionalFormatting sqref="AR137">
    <cfRule type="cellIs" dxfId="0" priority="3265" operator="equal">
      <formula>"未完成"</formula>
    </cfRule>
    <cfRule type="cellIs" dxfId="1" priority="3256" operator="equal">
      <formula>"未完成"</formula>
    </cfRule>
  </conditionalFormatting>
  <conditionalFormatting sqref="AS137:AT137">
    <cfRule type="cellIs" dxfId="0" priority="3319" operator="equal">
      <formula>"未完成"</formula>
    </cfRule>
    <cfRule type="cellIs" dxfId="1" priority="3310" operator="equal">
      <formula>"未完成"</formula>
    </cfRule>
  </conditionalFormatting>
  <conditionalFormatting sqref="R138">
    <cfRule type="cellIs" dxfId="0" priority="3228" operator="equal">
      <formula>"欠"</formula>
    </cfRule>
  </conditionalFormatting>
  <conditionalFormatting sqref="T138">
    <cfRule type="cellIs" dxfId="0" priority="3165" operator="equal">
      <formula>"欠"</formula>
    </cfRule>
  </conditionalFormatting>
  <conditionalFormatting sqref="AC138">
    <cfRule type="cellIs" dxfId="0" priority="3327" operator="equal">
      <formula>"未完成"</formula>
    </cfRule>
  </conditionalFormatting>
  <conditionalFormatting sqref="AG138:AH138">
    <cfRule type="cellIs" dxfId="0" priority="3345" operator="equal">
      <formula>"未完成"</formula>
    </cfRule>
    <cfRule type="cellIs" dxfId="1" priority="3336" operator="equal">
      <formula>"未完成"</formula>
    </cfRule>
  </conditionalFormatting>
  <conditionalFormatting sqref="AI138">
    <cfRule type="cellIs" dxfId="0" priority="3246" operator="equal">
      <formula>"未完成"</formula>
    </cfRule>
    <cfRule type="cellIs" dxfId="1" priority="3237" operator="equal">
      <formula>"未完成"</formula>
    </cfRule>
  </conditionalFormatting>
  <conditionalFormatting sqref="AJ138">
    <cfRule type="cellIs" dxfId="0" priority="3282" operator="equal">
      <formula>"未完成"</formula>
    </cfRule>
    <cfRule type="cellIs" dxfId="1" priority="3273" operator="equal">
      <formula>"未完成"</formula>
    </cfRule>
  </conditionalFormatting>
  <conditionalFormatting sqref="AK138">
    <cfRule type="cellIs" dxfId="0" priority="3201" operator="equal">
      <formula>"未完成"</formula>
    </cfRule>
    <cfRule type="cellIs" dxfId="1" priority="3192" operator="equal">
      <formula>"未完成"</formula>
    </cfRule>
  </conditionalFormatting>
  <conditionalFormatting sqref="AN138">
    <cfRule type="cellIs" dxfId="0" priority="3183" operator="equal">
      <formula>"未完成"</formula>
    </cfRule>
    <cfRule type="cellIs" dxfId="1" priority="3174" operator="equal">
      <formula>"未完成"</formula>
    </cfRule>
  </conditionalFormatting>
  <conditionalFormatting sqref="AO138">
    <cfRule type="cellIs" dxfId="0" priority="3300" operator="equal">
      <formula>"未完成"</formula>
    </cfRule>
    <cfRule type="cellIs" dxfId="1" priority="3291" operator="equal">
      <formula>"未完成"</formula>
    </cfRule>
  </conditionalFormatting>
  <conditionalFormatting sqref="AQ138">
    <cfRule type="cellIs" dxfId="0" priority="3219" operator="equal">
      <formula>"未完成"</formula>
    </cfRule>
    <cfRule type="cellIs" dxfId="1" priority="3210" operator="equal">
      <formula>"未完成"</formula>
    </cfRule>
  </conditionalFormatting>
  <conditionalFormatting sqref="AR138">
    <cfRule type="cellIs" dxfId="0" priority="3264" operator="equal">
      <formula>"未完成"</formula>
    </cfRule>
    <cfRule type="cellIs" dxfId="1" priority="3255" operator="equal">
      <formula>"未完成"</formula>
    </cfRule>
  </conditionalFormatting>
  <conditionalFormatting sqref="AS138:AT138">
    <cfRule type="cellIs" dxfId="0" priority="3318" operator="equal">
      <formula>"未完成"</formula>
    </cfRule>
    <cfRule type="cellIs" dxfId="1" priority="3309" operator="equal">
      <formula>"未完成"</formula>
    </cfRule>
  </conditionalFormatting>
  <conditionalFormatting sqref="R139">
    <cfRule type="cellIs" dxfId="0" priority="3227" operator="equal">
      <formula>"欠"</formula>
    </cfRule>
  </conditionalFormatting>
  <conditionalFormatting sqref="T139">
    <cfRule type="cellIs" dxfId="0" priority="3164" operator="equal">
      <formula>"欠"</formula>
    </cfRule>
  </conditionalFormatting>
  <conditionalFormatting sqref="AC139">
    <cfRule type="cellIs" dxfId="0" priority="3326" operator="equal">
      <formula>"未完成"</formula>
    </cfRule>
  </conditionalFormatting>
  <conditionalFormatting sqref="AG139:AH139">
    <cfRule type="cellIs" dxfId="0" priority="3344" operator="equal">
      <formula>"未完成"</formula>
    </cfRule>
    <cfRule type="cellIs" dxfId="1" priority="3335" operator="equal">
      <formula>"未完成"</formula>
    </cfRule>
  </conditionalFormatting>
  <conditionalFormatting sqref="AI139">
    <cfRule type="cellIs" dxfId="0" priority="3245" operator="equal">
      <formula>"未完成"</formula>
    </cfRule>
    <cfRule type="cellIs" dxfId="1" priority="3236" operator="equal">
      <formula>"未完成"</formula>
    </cfRule>
  </conditionalFormatting>
  <conditionalFormatting sqref="AJ139">
    <cfRule type="cellIs" dxfId="0" priority="3281" operator="equal">
      <formula>"未完成"</formula>
    </cfRule>
    <cfRule type="cellIs" dxfId="1" priority="3272" operator="equal">
      <formula>"未完成"</formula>
    </cfRule>
  </conditionalFormatting>
  <conditionalFormatting sqref="AK139">
    <cfRule type="cellIs" dxfId="0" priority="3200" operator="equal">
      <formula>"未完成"</formula>
    </cfRule>
    <cfRule type="cellIs" dxfId="1" priority="3191" operator="equal">
      <formula>"未完成"</formula>
    </cfRule>
  </conditionalFormatting>
  <conditionalFormatting sqref="AN139">
    <cfRule type="cellIs" dxfId="0" priority="3182" operator="equal">
      <formula>"未完成"</formula>
    </cfRule>
    <cfRule type="cellIs" dxfId="1" priority="3173" operator="equal">
      <formula>"未完成"</formula>
    </cfRule>
  </conditionalFormatting>
  <conditionalFormatting sqref="AO139">
    <cfRule type="cellIs" dxfId="0" priority="3299" operator="equal">
      <formula>"未完成"</formula>
    </cfRule>
    <cfRule type="cellIs" dxfId="1" priority="3290" operator="equal">
      <formula>"未完成"</formula>
    </cfRule>
  </conditionalFormatting>
  <conditionalFormatting sqref="AQ139">
    <cfRule type="cellIs" dxfId="0" priority="3218" operator="equal">
      <formula>"未完成"</formula>
    </cfRule>
    <cfRule type="cellIs" dxfId="1" priority="3209" operator="equal">
      <formula>"未完成"</formula>
    </cfRule>
  </conditionalFormatting>
  <conditionalFormatting sqref="AR139">
    <cfRule type="cellIs" dxfId="0" priority="3263" operator="equal">
      <formula>"未完成"</formula>
    </cfRule>
    <cfRule type="cellIs" dxfId="1" priority="3254" operator="equal">
      <formula>"未完成"</formula>
    </cfRule>
  </conditionalFormatting>
  <conditionalFormatting sqref="AS139:AT139">
    <cfRule type="cellIs" dxfId="0" priority="3317" operator="equal">
      <formula>"未完成"</formula>
    </cfRule>
    <cfRule type="cellIs" dxfId="1" priority="3308" operator="equal">
      <formula>"未完成"</formula>
    </cfRule>
  </conditionalFormatting>
  <conditionalFormatting sqref="R140">
    <cfRule type="cellIs" dxfId="0" priority="3226" operator="equal">
      <formula>"欠"</formula>
    </cfRule>
  </conditionalFormatting>
  <conditionalFormatting sqref="T140">
    <cfRule type="cellIs" dxfId="0" priority="3163" operator="equal">
      <formula>"欠"</formula>
    </cfRule>
  </conditionalFormatting>
  <conditionalFormatting sqref="AC140">
    <cfRule type="cellIs" dxfId="0" priority="3325" operator="equal">
      <formula>"未完成"</formula>
    </cfRule>
  </conditionalFormatting>
  <conditionalFormatting sqref="AG140:AH140">
    <cfRule type="cellIs" dxfId="0" priority="3343" operator="equal">
      <formula>"未完成"</formula>
    </cfRule>
    <cfRule type="cellIs" dxfId="1" priority="3334" operator="equal">
      <formula>"未完成"</formula>
    </cfRule>
  </conditionalFormatting>
  <conditionalFormatting sqref="AI140">
    <cfRule type="cellIs" dxfId="0" priority="3244" operator="equal">
      <formula>"未完成"</formula>
    </cfRule>
    <cfRule type="cellIs" dxfId="1" priority="3235" operator="equal">
      <formula>"未完成"</formula>
    </cfRule>
  </conditionalFormatting>
  <conditionalFormatting sqref="AJ140">
    <cfRule type="cellIs" dxfId="0" priority="3280" operator="equal">
      <formula>"未完成"</formula>
    </cfRule>
    <cfRule type="cellIs" dxfId="1" priority="3271" operator="equal">
      <formula>"未完成"</formula>
    </cfRule>
  </conditionalFormatting>
  <conditionalFormatting sqref="AK140">
    <cfRule type="cellIs" dxfId="0" priority="3199" operator="equal">
      <formula>"未完成"</formula>
    </cfRule>
    <cfRule type="cellIs" dxfId="1" priority="3190" operator="equal">
      <formula>"未完成"</formula>
    </cfRule>
  </conditionalFormatting>
  <conditionalFormatting sqref="AN140">
    <cfRule type="cellIs" dxfId="0" priority="3181" operator="equal">
      <formula>"未完成"</formula>
    </cfRule>
    <cfRule type="cellIs" dxfId="1" priority="3172" operator="equal">
      <formula>"未完成"</formula>
    </cfRule>
  </conditionalFormatting>
  <conditionalFormatting sqref="AO140">
    <cfRule type="cellIs" dxfId="0" priority="3298" operator="equal">
      <formula>"未完成"</formula>
    </cfRule>
    <cfRule type="cellIs" dxfId="1" priority="3289" operator="equal">
      <formula>"未完成"</formula>
    </cfRule>
  </conditionalFormatting>
  <conditionalFormatting sqref="AQ140">
    <cfRule type="cellIs" dxfId="0" priority="3217" operator="equal">
      <formula>"未完成"</formula>
    </cfRule>
    <cfRule type="cellIs" dxfId="1" priority="3208" operator="equal">
      <formula>"未完成"</formula>
    </cfRule>
  </conditionalFormatting>
  <conditionalFormatting sqref="AR140">
    <cfRule type="cellIs" dxfId="0" priority="3262" operator="equal">
      <formula>"未完成"</formula>
    </cfRule>
    <cfRule type="cellIs" dxfId="1" priority="3253" operator="equal">
      <formula>"未完成"</formula>
    </cfRule>
  </conditionalFormatting>
  <conditionalFormatting sqref="AS140:AT140">
    <cfRule type="cellIs" dxfId="0" priority="3316" operator="equal">
      <formula>"未完成"</formula>
    </cfRule>
    <cfRule type="cellIs" dxfId="1" priority="3307" operator="equal">
      <formula>"未完成"</formula>
    </cfRule>
  </conditionalFormatting>
  <conditionalFormatting sqref="R141">
    <cfRule type="cellIs" dxfId="0" priority="3225" operator="equal">
      <formula>"欠"</formula>
    </cfRule>
  </conditionalFormatting>
  <conditionalFormatting sqref="T141">
    <cfRule type="cellIs" dxfId="0" priority="3162" operator="equal">
      <formula>"欠"</formula>
    </cfRule>
  </conditionalFormatting>
  <conditionalFormatting sqref="AC141">
    <cfRule type="cellIs" dxfId="0" priority="3324" operator="equal">
      <formula>"未完成"</formula>
    </cfRule>
  </conditionalFormatting>
  <conditionalFormatting sqref="AG141:AH141">
    <cfRule type="cellIs" dxfId="0" priority="3342" operator="equal">
      <formula>"未完成"</formula>
    </cfRule>
    <cfRule type="cellIs" dxfId="1" priority="3333" operator="equal">
      <formula>"未完成"</formula>
    </cfRule>
  </conditionalFormatting>
  <conditionalFormatting sqref="AI141">
    <cfRule type="cellIs" dxfId="0" priority="3243" operator="equal">
      <formula>"未完成"</formula>
    </cfRule>
    <cfRule type="cellIs" dxfId="1" priority="3234" operator="equal">
      <formula>"未完成"</formula>
    </cfRule>
  </conditionalFormatting>
  <conditionalFormatting sqref="AJ141">
    <cfRule type="cellIs" dxfId="0" priority="3279" operator="equal">
      <formula>"未完成"</formula>
    </cfRule>
    <cfRule type="cellIs" dxfId="1" priority="3270" operator="equal">
      <formula>"未完成"</formula>
    </cfRule>
  </conditionalFormatting>
  <conditionalFormatting sqref="AK141">
    <cfRule type="cellIs" dxfId="0" priority="3198" operator="equal">
      <formula>"未完成"</formula>
    </cfRule>
    <cfRule type="cellIs" dxfId="1" priority="3189" operator="equal">
      <formula>"未完成"</formula>
    </cfRule>
  </conditionalFormatting>
  <conditionalFormatting sqref="AN141">
    <cfRule type="cellIs" dxfId="0" priority="3180" operator="equal">
      <formula>"未完成"</formula>
    </cfRule>
    <cfRule type="cellIs" dxfId="1" priority="3171" operator="equal">
      <formula>"未完成"</formula>
    </cfRule>
  </conditionalFormatting>
  <conditionalFormatting sqref="AO141">
    <cfRule type="cellIs" dxfId="0" priority="3297" operator="equal">
      <formula>"未完成"</formula>
    </cfRule>
    <cfRule type="cellIs" dxfId="1" priority="3288" operator="equal">
      <formula>"未完成"</formula>
    </cfRule>
  </conditionalFormatting>
  <conditionalFormatting sqref="AQ141">
    <cfRule type="cellIs" dxfId="0" priority="3216" operator="equal">
      <formula>"未完成"</formula>
    </cfRule>
    <cfRule type="cellIs" dxfId="1" priority="3207" operator="equal">
      <formula>"未完成"</formula>
    </cfRule>
  </conditionalFormatting>
  <conditionalFormatting sqref="AR141">
    <cfRule type="cellIs" dxfId="0" priority="3261" operator="equal">
      <formula>"未完成"</formula>
    </cfRule>
    <cfRule type="cellIs" dxfId="1" priority="3252" operator="equal">
      <formula>"未完成"</formula>
    </cfRule>
  </conditionalFormatting>
  <conditionalFormatting sqref="AS141:AT141">
    <cfRule type="cellIs" dxfId="0" priority="3315" operator="equal">
      <formula>"未完成"</formula>
    </cfRule>
    <cfRule type="cellIs" dxfId="1" priority="3306" operator="equal">
      <formula>"未完成"</formula>
    </cfRule>
  </conditionalFormatting>
  <conditionalFormatting sqref="R142">
    <cfRule type="cellIs" dxfId="0" priority="3224" operator="equal">
      <formula>"欠"</formula>
    </cfRule>
  </conditionalFormatting>
  <conditionalFormatting sqref="T142">
    <cfRule type="cellIs" dxfId="0" priority="3161" operator="equal">
      <formula>"欠"</formula>
    </cfRule>
  </conditionalFormatting>
  <conditionalFormatting sqref="AC142">
    <cfRule type="cellIs" dxfId="0" priority="3323" operator="equal">
      <formula>"未完成"</formula>
    </cfRule>
  </conditionalFormatting>
  <conditionalFormatting sqref="AG142:AH142">
    <cfRule type="cellIs" dxfId="0" priority="3341" operator="equal">
      <formula>"未完成"</formula>
    </cfRule>
    <cfRule type="cellIs" dxfId="1" priority="3332" operator="equal">
      <formula>"未完成"</formula>
    </cfRule>
  </conditionalFormatting>
  <conditionalFormatting sqref="AI142">
    <cfRule type="cellIs" dxfId="0" priority="3242" operator="equal">
      <formula>"未完成"</formula>
    </cfRule>
    <cfRule type="cellIs" dxfId="1" priority="3233" operator="equal">
      <formula>"未完成"</formula>
    </cfRule>
  </conditionalFormatting>
  <conditionalFormatting sqref="AJ142">
    <cfRule type="cellIs" dxfId="1" priority="3269" operator="equal">
      <formula>"未完成"</formula>
    </cfRule>
    <cfRule type="cellIs" dxfId="0" priority="3278" operator="equal">
      <formula>"未完成"</formula>
    </cfRule>
  </conditionalFormatting>
  <conditionalFormatting sqref="AK142">
    <cfRule type="cellIs" dxfId="0" priority="3197" operator="equal">
      <formula>"未完成"</formula>
    </cfRule>
    <cfRule type="cellIs" dxfId="1" priority="3188" operator="equal">
      <formula>"未完成"</formula>
    </cfRule>
  </conditionalFormatting>
  <conditionalFormatting sqref="AN142">
    <cfRule type="cellIs" dxfId="0" priority="3179" operator="equal">
      <formula>"未完成"</formula>
    </cfRule>
    <cfRule type="cellIs" dxfId="1" priority="3170" operator="equal">
      <formula>"未完成"</formula>
    </cfRule>
  </conditionalFormatting>
  <conditionalFormatting sqref="AO142">
    <cfRule type="cellIs" dxfId="0" priority="3296" operator="equal">
      <formula>"未完成"</formula>
    </cfRule>
    <cfRule type="cellIs" dxfId="1" priority="3287" operator="equal">
      <formula>"未完成"</formula>
    </cfRule>
  </conditionalFormatting>
  <conditionalFormatting sqref="AQ142">
    <cfRule type="cellIs" dxfId="0" priority="3215" operator="equal">
      <formula>"未完成"</formula>
    </cfRule>
    <cfRule type="cellIs" dxfId="1" priority="3206" operator="equal">
      <formula>"未完成"</formula>
    </cfRule>
  </conditionalFormatting>
  <conditionalFormatting sqref="AR142">
    <cfRule type="cellIs" dxfId="0" priority="3260" operator="equal">
      <formula>"未完成"</formula>
    </cfRule>
    <cfRule type="cellIs" dxfId="1" priority="3251" operator="equal">
      <formula>"未完成"</formula>
    </cfRule>
  </conditionalFormatting>
  <conditionalFormatting sqref="AS142:AT142">
    <cfRule type="cellIs" dxfId="0" priority="3314" operator="equal">
      <formula>"未完成"</formula>
    </cfRule>
    <cfRule type="cellIs" dxfId="1" priority="3305" operator="equal">
      <formula>"未完成"</formula>
    </cfRule>
  </conditionalFormatting>
  <conditionalFormatting sqref="R143">
    <cfRule type="cellIs" dxfId="0" priority="3051" operator="equal">
      <formula>"欠"</formula>
    </cfRule>
  </conditionalFormatting>
  <conditionalFormatting sqref="T143">
    <cfRule type="cellIs" dxfId="0" priority="3016" operator="equal">
      <formula>"欠"</formula>
    </cfRule>
  </conditionalFormatting>
  <conditionalFormatting sqref="AC143">
    <cfRule type="cellIs" dxfId="0" priority="3106" operator="equal">
      <formula>"未完成"</formula>
    </cfRule>
  </conditionalFormatting>
  <conditionalFormatting sqref="AG143:AH143">
    <cfRule type="cellIs" dxfId="0" priority="3116" operator="equal">
      <formula>"未完成"</formula>
    </cfRule>
    <cfRule type="cellIs" dxfId="1" priority="3111" operator="equal">
      <formula>"未完成"</formula>
    </cfRule>
  </conditionalFormatting>
  <conditionalFormatting sqref="AI143">
    <cfRule type="cellIs" dxfId="0" priority="3061" operator="equal">
      <formula>"未完成"</formula>
    </cfRule>
    <cfRule type="cellIs" dxfId="1" priority="3056" operator="equal">
      <formula>"未完成"</formula>
    </cfRule>
  </conditionalFormatting>
  <conditionalFormatting sqref="AJ143">
    <cfRule type="cellIs" dxfId="0" priority="3081" operator="equal">
      <formula>"未完成"</formula>
    </cfRule>
    <cfRule type="cellIs" dxfId="1" priority="3076" operator="equal">
      <formula>"未完成"</formula>
    </cfRule>
  </conditionalFormatting>
  <conditionalFormatting sqref="AK143">
    <cfRule type="cellIs" dxfId="0" priority="3036" operator="equal">
      <formula>"未完成"</formula>
    </cfRule>
    <cfRule type="cellIs" dxfId="1" priority="3031" operator="equal">
      <formula>"未完成"</formula>
    </cfRule>
  </conditionalFormatting>
  <conditionalFormatting sqref="AN143">
    <cfRule type="cellIs" dxfId="0" priority="3026" operator="equal">
      <formula>"未完成"</formula>
    </cfRule>
    <cfRule type="cellIs" dxfId="1" priority="3021" operator="equal">
      <formula>"未完成"</formula>
    </cfRule>
  </conditionalFormatting>
  <conditionalFormatting sqref="AO143">
    <cfRule type="cellIs" dxfId="0" priority="3091" operator="equal">
      <formula>"未完成"</formula>
    </cfRule>
    <cfRule type="cellIs" dxfId="1" priority="3086" operator="equal">
      <formula>"未完成"</formula>
    </cfRule>
  </conditionalFormatting>
  <conditionalFormatting sqref="AQ143">
    <cfRule type="cellIs" dxfId="0" priority="3046" operator="equal">
      <formula>"未完成"</formula>
    </cfRule>
    <cfRule type="cellIs" dxfId="1" priority="3041" operator="equal">
      <formula>"未完成"</formula>
    </cfRule>
  </conditionalFormatting>
  <conditionalFormatting sqref="AR143">
    <cfRule type="cellIs" dxfId="0" priority="3071" operator="equal">
      <formula>"未完成"</formula>
    </cfRule>
    <cfRule type="cellIs" dxfId="1" priority="3066" operator="equal">
      <formula>"未完成"</formula>
    </cfRule>
  </conditionalFormatting>
  <conditionalFormatting sqref="AS143:AT143">
    <cfRule type="cellIs" dxfId="0" priority="3101" operator="equal">
      <formula>"未完成"</formula>
    </cfRule>
    <cfRule type="cellIs" dxfId="1" priority="3096" operator="equal">
      <formula>"未完成"</formula>
    </cfRule>
  </conditionalFormatting>
  <conditionalFormatting sqref="R144">
    <cfRule type="cellIs" dxfId="0" priority="3050" operator="equal">
      <formula>"欠"</formula>
    </cfRule>
  </conditionalFormatting>
  <conditionalFormatting sqref="T144">
    <cfRule type="cellIs" dxfId="0" priority="3015" operator="equal">
      <formula>"欠"</formula>
    </cfRule>
  </conditionalFormatting>
  <conditionalFormatting sqref="AC144">
    <cfRule type="cellIs" dxfId="0" priority="3105" operator="equal">
      <formula>"未完成"</formula>
    </cfRule>
  </conditionalFormatting>
  <conditionalFormatting sqref="AG144:AH144">
    <cfRule type="cellIs" dxfId="0" priority="3115" operator="equal">
      <formula>"未完成"</formula>
    </cfRule>
    <cfRule type="cellIs" dxfId="1" priority="3110" operator="equal">
      <formula>"未完成"</formula>
    </cfRule>
  </conditionalFormatting>
  <conditionalFormatting sqref="AI144">
    <cfRule type="cellIs" dxfId="0" priority="3060" operator="equal">
      <formula>"未完成"</formula>
    </cfRule>
    <cfRule type="cellIs" dxfId="1" priority="3055" operator="equal">
      <formula>"未完成"</formula>
    </cfRule>
  </conditionalFormatting>
  <conditionalFormatting sqref="AJ144">
    <cfRule type="cellIs" dxfId="0" priority="3080" operator="equal">
      <formula>"未完成"</formula>
    </cfRule>
    <cfRule type="cellIs" dxfId="1" priority="3075" operator="equal">
      <formula>"未完成"</formula>
    </cfRule>
  </conditionalFormatting>
  <conditionalFormatting sqref="AK144">
    <cfRule type="cellIs" dxfId="0" priority="3035" operator="equal">
      <formula>"未完成"</formula>
    </cfRule>
    <cfRule type="cellIs" dxfId="1" priority="3030" operator="equal">
      <formula>"未完成"</formula>
    </cfRule>
  </conditionalFormatting>
  <conditionalFormatting sqref="AN144">
    <cfRule type="cellIs" dxfId="0" priority="3025" operator="equal">
      <formula>"未完成"</formula>
    </cfRule>
    <cfRule type="cellIs" dxfId="1" priority="3020" operator="equal">
      <formula>"未完成"</formula>
    </cfRule>
  </conditionalFormatting>
  <conditionalFormatting sqref="AO144">
    <cfRule type="cellIs" dxfId="0" priority="3090" operator="equal">
      <formula>"未完成"</formula>
    </cfRule>
    <cfRule type="cellIs" dxfId="1" priority="3085" operator="equal">
      <formula>"未完成"</formula>
    </cfRule>
  </conditionalFormatting>
  <conditionalFormatting sqref="AQ144">
    <cfRule type="cellIs" dxfId="0" priority="3045" operator="equal">
      <formula>"未完成"</formula>
    </cfRule>
    <cfRule type="cellIs" dxfId="1" priority="3040" operator="equal">
      <formula>"未完成"</formula>
    </cfRule>
  </conditionalFormatting>
  <conditionalFormatting sqref="AR144">
    <cfRule type="cellIs" dxfId="0" priority="3070" operator="equal">
      <formula>"未完成"</formula>
    </cfRule>
    <cfRule type="cellIs" dxfId="1" priority="3065" operator="equal">
      <formula>"未完成"</formula>
    </cfRule>
  </conditionalFormatting>
  <conditionalFormatting sqref="AS144:AT144">
    <cfRule type="cellIs" dxfId="0" priority="3100" operator="equal">
      <formula>"未完成"</formula>
    </cfRule>
    <cfRule type="cellIs" dxfId="1" priority="3095" operator="equal">
      <formula>"未完成"</formula>
    </cfRule>
  </conditionalFormatting>
  <conditionalFormatting sqref="R145">
    <cfRule type="cellIs" dxfId="0" priority="3049" operator="equal">
      <formula>"欠"</formula>
    </cfRule>
  </conditionalFormatting>
  <conditionalFormatting sqref="T145">
    <cfRule type="cellIs" dxfId="0" priority="3014" operator="equal">
      <formula>"欠"</formula>
    </cfRule>
  </conditionalFormatting>
  <conditionalFormatting sqref="AC145">
    <cfRule type="cellIs" dxfId="0" priority="3104" operator="equal">
      <formula>"未完成"</formula>
    </cfRule>
  </conditionalFormatting>
  <conditionalFormatting sqref="AG145:AH145">
    <cfRule type="cellIs" dxfId="0" priority="3114" operator="equal">
      <formula>"未完成"</formula>
    </cfRule>
    <cfRule type="cellIs" dxfId="1" priority="3109" operator="equal">
      <formula>"未完成"</formula>
    </cfRule>
  </conditionalFormatting>
  <conditionalFormatting sqref="AI145">
    <cfRule type="cellIs" dxfId="0" priority="3059" operator="equal">
      <formula>"未完成"</formula>
    </cfRule>
    <cfRule type="cellIs" dxfId="1" priority="3054" operator="equal">
      <formula>"未完成"</formula>
    </cfRule>
  </conditionalFormatting>
  <conditionalFormatting sqref="AJ145">
    <cfRule type="cellIs" dxfId="0" priority="3079" operator="equal">
      <formula>"未完成"</formula>
    </cfRule>
    <cfRule type="cellIs" dxfId="1" priority="3074" operator="equal">
      <formula>"未完成"</formula>
    </cfRule>
  </conditionalFormatting>
  <conditionalFormatting sqref="AK145">
    <cfRule type="cellIs" dxfId="0" priority="3034" operator="equal">
      <formula>"未完成"</formula>
    </cfRule>
    <cfRule type="cellIs" dxfId="1" priority="3029" operator="equal">
      <formula>"未完成"</formula>
    </cfRule>
  </conditionalFormatting>
  <conditionalFormatting sqref="AN145">
    <cfRule type="cellIs" dxfId="0" priority="3024" operator="equal">
      <formula>"未完成"</formula>
    </cfRule>
    <cfRule type="cellIs" dxfId="1" priority="3019" operator="equal">
      <formula>"未完成"</formula>
    </cfRule>
  </conditionalFormatting>
  <conditionalFormatting sqref="AO145">
    <cfRule type="cellIs" dxfId="0" priority="3089" operator="equal">
      <formula>"未完成"</formula>
    </cfRule>
    <cfRule type="cellIs" dxfId="1" priority="3084" operator="equal">
      <formula>"未完成"</formula>
    </cfRule>
  </conditionalFormatting>
  <conditionalFormatting sqref="AQ145">
    <cfRule type="cellIs" dxfId="0" priority="3044" operator="equal">
      <formula>"未完成"</formula>
    </cfRule>
    <cfRule type="cellIs" dxfId="1" priority="3039" operator="equal">
      <formula>"未完成"</formula>
    </cfRule>
  </conditionalFormatting>
  <conditionalFormatting sqref="AR145">
    <cfRule type="cellIs" dxfId="0" priority="3069" operator="equal">
      <formula>"未完成"</formula>
    </cfRule>
    <cfRule type="cellIs" dxfId="1" priority="3064" operator="equal">
      <formula>"未完成"</formula>
    </cfRule>
  </conditionalFormatting>
  <conditionalFormatting sqref="AS145:AT145">
    <cfRule type="cellIs" dxfId="0" priority="3099" operator="equal">
      <formula>"未完成"</formula>
    </cfRule>
    <cfRule type="cellIs" dxfId="1" priority="3094" operator="equal">
      <formula>"未完成"</formula>
    </cfRule>
  </conditionalFormatting>
  <conditionalFormatting sqref="R146">
    <cfRule type="cellIs" dxfId="0" priority="3048" operator="equal">
      <formula>"欠"</formula>
    </cfRule>
  </conditionalFormatting>
  <conditionalFormatting sqref="T146">
    <cfRule type="cellIs" dxfId="0" priority="3013" operator="equal">
      <formula>"欠"</formula>
    </cfRule>
  </conditionalFormatting>
  <conditionalFormatting sqref="AC146">
    <cfRule type="cellIs" dxfId="0" priority="3103" operator="equal">
      <formula>"未完成"</formula>
    </cfRule>
  </conditionalFormatting>
  <conditionalFormatting sqref="AG146:AH146">
    <cfRule type="cellIs" dxfId="0" priority="3113" operator="equal">
      <formula>"未完成"</formula>
    </cfRule>
    <cfRule type="cellIs" dxfId="1" priority="3108" operator="equal">
      <formula>"未完成"</formula>
    </cfRule>
  </conditionalFormatting>
  <conditionalFormatting sqref="AI146">
    <cfRule type="cellIs" dxfId="0" priority="3058" operator="equal">
      <formula>"未完成"</formula>
    </cfRule>
    <cfRule type="cellIs" dxfId="1" priority="3053" operator="equal">
      <formula>"未完成"</formula>
    </cfRule>
  </conditionalFormatting>
  <conditionalFormatting sqref="AJ146">
    <cfRule type="cellIs" dxfId="0" priority="3078" operator="equal">
      <formula>"未完成"</formula>
    </cfRule>
    <cfRule type="cellIs" dxfId="1" priority="3073" operator="equal">
      <formula>"未完成"</formula>
    </cfRule>
  </conditionalFormatting>
  <conditionalFormatting sqref="AK146">
    <cfRule type="cellIs" dxfId="0" priority="3033" operator="equal">
      <formula>"未完成"</formula>
    </cfRule>
    <cfRule type="cellIs" dxfId="1" priority="3028" operator="equal">
      <formula>"未完成"</formula>
    </cfRule>
  </conditionalFormatting>
  <conditionalFormatting sqref="AN146">
    <cfRule type="cellIs" dxfId="0" priority="3023" operator="equal">
      <formula>"未完成"</formula>
    </cfRule>
    <cfRule type="cellIs" dxfId="1" priority="3018" operator="equal">
      <formula>"未完成"</formula>
    </cfRule>
  </conditionalFormatting>
  <conditionalFormatting sqref="AO146">
    <cfRule type="cellIs" dxfId="0" priority="3088" operator="equal">
      <formula>"未完成"</formula>
    </cfRule>
    <cfRule type="cellIs" dxfId="1" priority="3083" operator="equal">
      <formula>"未完成"</formula>
    </cfRule>
  </conditionalFormatting>
  <conditionalFormatting sqref="AQ146">
    <cfRule type="cellIs" dxfId="0" priority="3043" operator="equal">
      <formula>"未完成"</formula>
    </cfRule>
    <cfRule type="cellIs" dxfId="1" priority="3038" operator="equal">
      <formula>"未完成"</formula>
    </cfRule>
  </conditionalFormatting>
  <conditionalFormatting sqref="AR146">
    <cfRule type="cellIs" dxfId="0" priority="3068" operator="equal">
      <formula>"未完成"</formula>
    </cfRule>
    <cfRule type="cellIs" dxfId="1" priority="3063" operator="equal">
      <formula>"未完成"</formula>
    </cfRule>
  </conditionalFormatting>
  <conditionalFormatting sqref="AS146:AT146">
    <cfRule type="cellIs" dxfId="0" priority="3098" operator="equal">
      <formula>"未完成"</formula>
    </cfRule>
    <cfRule type="cellIs" dxfId="1" priority="3093" operator="equal">
      <formula>"未完成"</formula>
    </cfRule>
  </conditionalFormatting>
  <conditionalFormatting sqref="R147">
    <cfRule type="cellIs" dxfId="0" priority="3047" operator="equal">
      <formula>"欠"</formula>
    </cfRule>
  </conditionalFormatting>
  <conditionalFormatting sqref="T147">
    <cfRule type="cellIs" dxfId="0" priority="3012" operator="equal">
      <formula>"欠"</formula>
    </cfRule>
  </conditionalFormatting>
  <conditionalFormatting sqref="AC147">
    <cfRule type="cellIs" dxfId="0" priority="3102" operator="equal">
      <formula>"未完成"</formula>
    </cfRule>
  </conditionalFormatting>
  <conditionalFormatting sqref="AG147:AH147">
    <cfRule type="cellIs" dxfId="0" priority="3112" operator="equal">
      <formula>"未完成"</formula>
    </cfRule>
    <cfRule type="cellIs" dxfId="1" priority="3107" operator="equal">
      <formula>"未完成"</formula>
    </cfRule>
  </conditionalFormatting>
  <conditionalFormatting sqref="AI147">
    <cfRule type="cellIs" dxfId="0" priority="3057" operator="equal">
      <formula>"未完成"</formula>
    </cfRule>
    <cfRule type="cellIs" dxfId="1" priority="3052" operator="equal">
      <formula>"未完成"</formula>
    </cfRule>
  </conditionalFormatting>
  <conditionalFormatting sqref="AJ147">
    <cfRule type="cellIs" dxfId="0" priority="3077" operator="equal">
      <formula>"未完成"</formula>
    </cfRule>
    <cfRule type="cellIs" dxfId="1" priority="3072" operator="equal">
      <formula>"未完成"</formula>
    </cfRule>
  </conditionalFormatting>
  <conditionalFormatting sqref="AK147">
    <cfRule type="cellIs" dxfId="0" priority="3032" operator="equal">
      <formula>"未完成"</formula>
    </cfRule>
    <cfRule type="cellIs" dxfId="1" priority="3027" operator="equal">
      <formula>"未完成"</formula>
    </cfRule>
  </conditionalFormatting>
  <conditionalFormatting sqref="AN147">
    <cfRule type="cellIs" dxfId="0" priority="3022" operator="equal">
      <formula>"未完成"</formula>
    </cfRule>
    <cfRule type="cellIs" dxfId="1" priority="3017" operator="equal">
      <formula>"未完成"</formula>
    </cfRule>
  </conditionalFormatting>
  <conditionalFormatting sqref="AO147">
    <cfRule type="cellIs" dxfId="0" priority="3087" operator="equal">
      <formula>"未完成"</formula>
    </cfRule>
    <cfRule type="cellIs" dxfId="1" priority="3082" operator="equal">
      <formula>"未完成"</formula>
    </cfRule>
  </conditionalFormatting>
  <conditionalFormatting sqref="AQ147">
    <cfRule type="cellIs" dxfId="0" priority="3042" operator="equal">
      <formula>"未完成"</formula>
    </cfRule>
    <cfRule type="cellIs" dxfId="1" priority="3037" operator="equal">
      <formula>"未完成"</formula>
    </cfRule>
  </conditionalFormatting>
  <conditionalFormatting sqref="AR147">
    <cfRule type="cellIs" dxfId="0" priority="3067" operator="equal">
      <formula>"未完成"</formula>
    </cfRule>
    <cfRule type="cellIs" dxfId="1" priority="3062" operator="equal">
      <formula>"未完成"</formula>
    </cfRule>
  </conditionalFormatting>
  <conditionalFormatting sqref="AS147:AT147">
    <cfRule type="cellIs" dxfId="0" priority="3097" operator="equal">
      <formula>"未完成"</formula>
    </cfRule>
    <cfRule type="cellIs" dxfId="1" priority="3092" operator="equal">
      <formula>"未完成"</formula>
    </cfRule>
  </conditionalFormatting>
  <conditionalFormatting sqref="R148">
    <cfRule type="cellIs" dxfId="0" priority="2604" operator="equal">
      <formula>"欠"</formula>
    </cfRule>
  </conditionalFormatting>
  <conditionalFormatting sqref="T148">
    <cfRule type="cellIs" dxfId="0" priority="2394" operator="equal">
      <formula>"欠"</formula>
    </cfRule>
  </conditionalFormatting>
  <conditionalFormatting sqref="AC148">
    <cfRule type="cellIs" dxfId="0" priority="2934" operator="equal">
      <formula>"未完成"</formula>
    </cfRule>
  </conditionalFormatting>
  <conditionalFormatting sqref="AG148:AH148">
    <cfRule type="cellIs" dxfId="0" priority="2994" operator="equal">
      <formula>"未完成"</formula>
    </cfRule>
    <cfRule type="cellIs" dxfId="1" priority="2964" operator="equal">
      <formula>"未完成"</formula>
    </cfRule>
  </conditionalFormatting>
  <conditionalFormatting sqref="AI148">
    <cfRule type="cellIs" dxfId="0" priority="2664" operator="equal">
      <formula>"未完成"</formula>
    </cfRule>
    <cfRule type="cellIs" dxfId="1" priority="2634" operator="equal">
      <formula>"未完成"</formula>
    </cfRule>
  </conditionalFormatting>
  <conditionalFormatting sqref="AK148">
    <cfRule type="cellIs" dxfId="0" priority="2514" operator="equal">
      <formula>"未完成"</formula>
    </cfRule>
    <cfRule type="cellIs" dxfId="1" priority="2484" operator="equal">
      <formula>"未完成"</formula>
    </cfRule>
  </conditionalFormatting>
  <conditionalFormatting sqref="AN148">
    <cfRule type="cellIs" dxfId="0" priority="2454" operator="equal">
      <formula>"未完成"</formula>
    </cfRule>
    <cfRule type="cellIs" dxfId="1" priority="2424" operator="equal">
      <formula>"未完成"</formula>
    </cfRule>
  </conditionalFormatting>
  <conditionalFormatting sqref="AO148">
    <cfRule type="cellIs" dxfId="0" priority="2844" operator="equal">
      <formula>"未完成"</formula>
    </cfRule>
    <cfRule type="cellIs" dxfId="1" priority="2814" operator="equal">
      <formula>"未完成"</formula>
    </cfRule>
  </conditionalFormatting>
  <conditionalFormatting sqref="AR148">
    <cfRule type="cellIs" dxfId="0" priority="2724" operator="equal">
      <formula>"未完成"</formula>
    </cfRule>
    <cfRule type="cellIs" dxfId="1" priority="2694" operator="equal">
      <formula>"未完成"</formula>
    </cfRule>
  </conditionalFormatting>
  <conditionalFormatting sqref="AS148:AT148">
    <cfRule type="cellIs" dxfId="0" priority="2904" operator="equal">
      <formula>"未完成"</formula>
    </cfRule>
    <cfRule type="cellIs" dxfId="1" priority="2874" operator="equal">
      <formula>"未完成"</formula>
    </cfRule>
  </conditionalFormatting>
  <conditionalFormatting sqref="R149">
    <cfRule type="cellIs" dxfId="0" priority="2603" operator="equal">
      <formula>"欠"</formula>
    </cfRule>
  </conditionalFormatting>
  <conditionalFormatting sqref="T149">
    <cfRule type="cellIs" dxfId="0" priority="2393" operator="equal">
      <formula>"欠"</formula>
    </cfRule>
  </conditionalFormatting>
  <conditionalFormatting sqref="AC149">
    <cfRule type="cellIs" dxfId="0" priority="2933" operator="equal">
      <formula>"未完成"</formula>
    </cfRule>
  </conditionalFormatting>
  <conditionalFormatting sqref="AG149:AH149">
    <cfRule type="cellIs" dxfId="0" priority="2993" operator="equal">
      <formula>"未完成"</formula>
    </cfRule>
    <cfRule type="cellIs" dxfId="1" priority="2963" operator="equal">
      <formula>"未完成"</formula>
    </cfRule>
  </conditionalFormatting>
  <conditionalFormatting sqref="AI149">
    <cfRule type="cellIs" dxfId="0" priority="2663" operator="equal">
      <formula>"未完成"</formula>
    </cfRule>
    <cfRule type="cellIs" dxfId="1" priority="2633" operator="equal">
      <formula>"未完成"</formula>
    </cfRule>
  </conditionalFormatting>
  <conditionalFormatting sqref="AK149">
    <cfRule type="cellIs" dxfId="0" priority="2513" operator="equal">
      <formula>"未完成"</formula>
    </cfRule>
    <cfRule type="cellIs" dxfId="1" priority="2483" operator="equal">
      <formula>"未完成"</formula>
    </cfRule>
  </conditionalFormatting>
  <conditionalFormatting sqref="AN149">
    <cfRule type="cellIs" dxfId="0" priority="2453" operator="equal">
      <formula>"未完成"</formula>
    </cfRule>
    <cfRule type="cellIs" dxfId="1" priority="2423" operator="equal">
      <formula>"未完成"</formula>
    </cfRule>
  </conditionalFormatting>
  <conditionalFormatting sqref="AO149">
    <cfRule type="cellIs" dxfId="0" priority="2843" operator="equal">
      <formula>"未完成"</formula>
    </cfRule>
    <cfRule type="cellIs" dxfId="1" priority="2813" operator="equal">
      <formula>"未完成"</formula>
    </cfRule>
  </conditionalFormatting>
  <conditionalFormatting sqref="AR149">
    <cfRule type="cellIs" dxfId="0" priority="2723" operator="equal">
      <formula>"未完成"</formula>
    </cfRule>
    <cfRule type="cellIs" dxfId="1" priority="2693" operator="equal">
      <formula>"未完成"</formula>
    </cfRule>
  </conditionalFormatting>
  <conditionalFormatting sqref="AS149:AT149">
    <cfRule type="cellIs" dxfId="0" priority="2903" operator="equal">
      <formula>"未完成"</formula>
    </cfRule>
    <cfRule type="cellIs" dxfId="1" priority="2873" operator="equal">
      <formula>"未完成"</formula>
    </cfRule>
  </conditionalFormatting>
  <conditionalFormatting sqref="R150">
    <cfRule type="cellIs" dxfId="0" priority="2602" operator="equal">
      <formula>"欠"</formula>
    </cfRule>
  </conditionalFormatting>
  <conditionalFormatting sqref="T150">
    <cfRule type="cellIs" dxfId="0" priority="2392" operator="equal">
      <formula>"欠"</formula>
    </cfRule>
  </conditionalFormatting>
  <conditionalFormatting sqref="AC150">
    <cfRule type="cellIs" dxfId="0" priority="2932" operator="equal">
      <formula>"未完成"</formula>
    </cfRule>
  </conditionalFormatting>
  <conditionalFormatting sqref="AG150:AH150">
    <cfRule type="cellIs" dxfId="0" priority="2992" operator="equal">
      <formula>"未完成"</formula>
    </cfRule>
    <cfRule type="cellIs" dxfId="1" priority="2962" operator="equal">
      <formula>"未完成"</formula>
    </cfRule>
  </conditionalFormatting>
  <conditionalFormatting sqref="AI150">
    <cfRule type="cellIs" dxfId="0" priority="2662" operator="equal">
      <formula>"未完成"</formula>
    </cfRule>
    <cfRule type="cellIs" dxfId="1" priority="2632" operator="equal">
      <formula>"未完成"</formula>
    </cfRule>
  </conditionalFormatting>
  <conditionalFormatting sqref="AK150">
    <cfRule type="cellIs" dxfId="0" priority="2512" operator="equal">
      <formula>"未完成"</formula>
    </cfRule>
    <cfRule type="cellIs" dxfId="1" priority="2482" operator="equal">
      <formula>"未完成"</formula>
    </cfRule>
  </conditionalFormatting>
  <conditionalFormatting sqref="AN150">
    <cfRule type="cellIs" dxfId="0" priority="2452" operator="equal">
      <formula>"未完成"</formula>
    </cfRule>
    <cfRule type="cellIs" dxfId="1" priority="2422" operator="equal">
      <formula>"未完成"</formula>
    </cfRule>
  </conditionalFormatting>
  <conditionalFormatting sqref="AO150">
    <cfRule type="cellIs" dxfId="0" priority="2842" operator="equal">
      <formula>"未完成"</formula>
    </cfRule>
    <cfRule type="cellIs" dxfId="1" priority="2812" operator="equal">
      <formula>"未完成"</formula>
    </cfRule>
  </conditionalFormatting>
  <conditionalFormatting sqref="AR150">
    <cfRule type="cellIs" dxfId="0" priority="2722" operator="equal">
      <formula>"未完成"</formula>
    </cfRule>
    <cfRule type="cellIs" dxfId="1" priority="2692" operator="equal">
      <formula>"未完成"</formula>
    </cfRule>
  </conditionalFormatting>
  <conditionalFormatting sqref="AS150:AT150">
    <cfRule type="cellIs" dxfId="0" priority="2902" operator="equal">
      <formula>"未完成"</formula>
    </cfRule>
    <cfRule type="cellIs" dxfId="1" priority="2872" operator="equal">
      <formula>"未完成"</formula>
    </cfRule>
  </conditionalFormatting>
  <conditionalFormatting sqref="R151">
    <cfRule type="cellIs" dxfId="0" priority="2601" operator="equal">
      <formula>"欠"</formula>
    </cfRule>
  </conditionalFormatting>
  <conditionalFormatting sqref="T151">
    <cfRule type="cellIs" dxfId="0" priority="2391" operator="equal">
      <formula>"欠"</formula>
    </cfRule>
  </conditionalFormatting>
  <conditionalFormatting sqref="AC151">
    <cfRule type="cellIs" dxfId="0" priority="2931" operator="equal">
      <formula>"未完成"</formula>
    </cfRule>
  </conditionalFormatting>
  <conditionalFormatting sqref="AG151:AH151">
    <cfRule type="cellIs" dxfId="0" priority="2991" operator="equal">
      <formula>"未完成"</formula>
    </cfRule>
    <cfRule type="cellIs" dxfId="1" priority="2961" operator="equal">
      <formula>"未完成"</formula>
    </cfRule>
  </conditionalFormatting>
  <conditionalFormatting sqref="AI151">
    <cfRule type="cellIs" dxfId="0" priority="2661" operator="equal">
      <formula>"未完成"</formula>
    </cfRule>
    <cfRule type="cellIs" dxfId="1" priority="2631" operator="equal">
      <formula>"未完成"</formula>
    </cfRule>
  </conditionalFormatting>
  <conditionalFormatting sqref="AK151">
    <cfRule type="cellIs" dxfId="0" priority="2511" operator="equal">
      <formula>"未完成"</formula>
    </cfRule>
    <cfRule type="cellIs" dxfId="1" priority="2481" operator="equal">
      <formula>"未完成"</formula>
    </cfRule>
  </conditionalFormatting>
  <conditionalFormatting sqref="AN151">
    <cfRule type="cellIs" dxfId="0" priority="2451" operator="equal">
      <formula>"未完成"</formula>
    </cfRule>
    <cfRule type="cellIs" dxfId="1" priority="2421" operator="equal">
      <formula>"未完成"</formula>
    </cfRule>
  </conditionalFormatting>
  <conditionalFormatting sqref="AO151">
    <cfRule type="cellIs" dxfId="0" priority="2841" operator="equal">
      <formula>"未完成"</formula>
    </cfRule>
    <cfRule type="cellIs" dxfId="1" priority="2811" operator="equal">
      <formula>"未完成"</formula>
    </cfRule>
  </conditionalFormatting>
  <conditionalFormatting sqref="AR151">
    <cfRule type="cellIs" dxfId="0" priority="2721" operator="equal">
      <formula>"未完成"</formula>
    </cfRule>
    <cfRule type="cellIs" dxfId="1" priority="2691" operator="equal">
      <formula>"未完成"</formula>
    </cfRule>
  </conditionalFormatting>
  <conditionalFormatting sqref="AS151:AT151">
    <cfRule type="cellIs" dxfId="0" priority="2901" operator="equal">
      <formula>"未完成"</formula>
    </cfRule>
    <cfRule type="cellIs" dxfId="1" priority="2871" operator="equal">
      <formula>"未完成"</formula>
    </cfRule>
  </conditionalFormatting>
  <conditionalFormatting sqref="R152">
    <cfRule type="cellIs" dxfId="0" priority="2600" operator="equal">
      <formula>"欠"</formula>
    </cfRule>
  </conditionalFormatting>
  <conditionalFormatting sqref="T152">
    <cfRule type="cellIs" dxfId="0" priority="2390" operator="equal">
      <formula>"欠"</formula>
    </cfRule>
  </conditionalFormatting>
  <conditionalFormatting sqref="AC152">
    <cfRule type="cellIs" dxfId="0" priority="2930" operator="equal">
      <formula>"未完成"</formula>
    </cfRule>
  </conditionalFormatting>
  <conditionalFormatting sqref="AG152:AH152">
    <cfRule type="cellIs" dxfId="0" priority="2990" operator="equal">
      <formula>"未完成"</formula>
    </cfRule>
    <cfRule type="cellIs" dxfId="1" priority="2960" operator="equal">
      <formula>"未完成"</formula>
    </cfRule>
  </conditionalFormatting>
  <conditionalFormatting sqref="AI152">
    <cfRule type="cellIs" dxfId="0" priority="2660" operator="equal">
      <formula>"未完成"</formula>
    </cfRule>
    <cfRule type="cellIs" dxfId="1" priority="2630" operator="equal">
      <formula>"未完成"</formula>
    </cfRule>
  </conditionalFormatting>
  <conditionalFormatting sqref="AK152">
    <cfRule type="cellIs" dxfId="0" priority="2510" operator="equal">
      <formula>"未完成"</formula>
    </cfRule>
    <cfRule type="cellIs" dxfId="1" priority="2480" operator="equal">
      <formula>"未完成"</formula>
    </cfRule>
  </conditionalFormatting>
  <conditionalFormatting sqref="AN152">
    <cfRule type="cellIs" dxfId="0" priority="2450" operator="equal">
      <formula>"未完成"</formula>
    </cfRule>
    <cfRule type="cellIs" dxfId="1" priority="2420" operator="equal">
      <formula>"未完成"</formula>
    </cfRule>
  </conditionalFormatting>
  <conditionalFormatting sqref="AO152">
    <cfRule type="cellIs" dxfId="0" priority="2840" operator="equal">
      <formula>"未完成"</formula>
    </cfRule>
    <cfRule type="cellIs" dxfId="1" priority="2810" operator="equal">
      <formula>"未完成"</formula>
    </cfRule>
  </conditionalFormatting>
  <conditionalFormatting sqref="AR152">
    <cfRule type="cellIs" dxfId="0" priority="2720" operator="equal">
      <formula>"未完成"</formula>
    </cfRule>
    <cfRule type="cellIs" dxfId="1" priority="2690" operator="equal">
      <formula>"未完成"</formula>
    </cfRule>
  </conditionalFormatting>
  <conditionalFormatting sqref="AS152:AT152">
    <cfRule type="cellIs" dxfId="0" priority="2900" operator="equal">
      <formula>"未完成"</formula>
    </cfRule>
    <cfRule type="cellIs" dxfId="1" priority="2870" operator="equal">
      <formula>"未完成"</formula>
    </cfRule>
  </conditionalFormatting>
  <conditionalFormatting sqref="R153">
    <cfRule type="cellIs" dxfId="0" priority="2599" operator="equal">
      <formula>"欠"</formula>
    </cfRule>
  </conditionalFormatting>
  <conditionalFormatting sqref="T153">
    <cfRule type="cellIs" dxfId="0" priority="2389" operator="equal">
      <formula>"欠"</formula>
    </cfRule>
  </conditionalFormatting>
  <conditionalFormatting sqref="AC153">
    <cfRule type="cellIs" dxfId="0" priority="2929" operator="equal">
      <formula>"未完成"</formula>
    </cfRule>
  </conditionalFormatting>
  <conditionalFormatting sqref="AG153:AH153">
    <cfRule type="cellIs" dxfId="0" priority="2989" operator="equal">
      <formula>"未完成"</formula>
    </cfRule>
    <cfRule type="cellIs" dxfId="1" priority="2959" operator="equal">
      <formula>"未完成"</formula>
    </cfRule>
  </conditionalFormatting>
  <conditionalFormatting sqref="AI153">
    <cfRule type="cellIs" dxfId="0" priority="2659" operator="equal">
      <formula>"未完成"</formula>
    </cfRule>
    <cfRule type="cellIs" dxfId="1" priority="2629" operator="equal">
      <formula>"未完成"</formula>
    </cfRule>
  </conditionalFormatting>
  <conditionalFormatting sqref="AK153">
    <cfRule type="cellIs" dxfId="0" priority="2509" operator="equal">
      <formula>"未完成"</formula>
    </cfRule>
    <cfRule type="cellIs" dxfId="1" priority="2479" operator="equal">
      <formula>"未完成"</formula>
    </cfRule>
  </conditionalFormatting>
  <conditionalFormatting sqref="AN153">
    <cfRule type="cellIs" dxfId="0" priority="2449" operator="equal">
      <formula>"未完成"</formula>
    </cfRule>
    <cfRule type="cellIs" dxfId="1" priority="2419" operator="equal">
      <formula>"未完成"</formula>
    </cfRule>
  </conditionalFormatting>
  <conditionalFormatting sqref="AO153">
    <cfRule type="cellIs" dxfId="0" priority="2839" operator="equal">
      <formula>"未完成"</formula>
    </cfRule>
    <cfRule type="cellIs" dxfId="1" priority="2809" operator="equal">
      <formula>"未完成"</formula>
    </cfRule>
  </conditionalFormatting>
  <conditionalFormatting sqref="AR153">
    <cfRule type="cellIs" dxfId="0" priority="2719" operator="equal">
      <formula>"未完成"</formula>
    </cfRule>
    <cfRule type="cellIs" dxfId="1" priority="2689" operator="equal">
      <formula>"未完成"</formula>
    </cfRule>
  </conditionalFormatting>
  <conditionalFormatting sqref="AS153:AT153">
    <cfRule type="cellIs" dxfId="0" priority="2899" operator="equal">
      <formula>"未完成"</formula>
    </cfRule>
    <cfRule type="cellIs" dxfId="1" priority="2869" operator="equal">
      <formula>"未完成"</formula>
    </cfRule>
  </conditionalFormatting>
  <conditionalFormatting sqref="R154">
    <cfRule type="cellIs" dxfId="0" priority="2598" operator="equal">
      <formula>"欠"</formula>
    </cfRule>
  </conditionalFormatting>
  <conditionalFormatting sqref="T154">
    <cfRule type="cellIs" dxfId="0" priority="2388" operator="equal">
      <formula>"欠"</formula>
    </cfRule>
  </conditionalFormatting>
  <conditionalFormatting sqref="AC154">
    <cfRule type="cellIs" dxfId="0" priority="2928" operator="equal">
      <formula>"未完成"</formula>
    </cfRule>
  </conditionalFormatting>
  <conditionalFormatting sqref="AG154:AH154">
    <cfRule type="cellIs" dxfId="0" priority="2988" operator="equal">
      <formula>"未完成"</formula>
    </cfRule>
    <cfRule type="cellIs" dxfId="1" priority="2958" operator="equal">
      <formula>"未完成"</formula>
    </cfRule>
  </conditionalFormatting>
  <conditionalFormatting sqref="AI154">
    <cfRule type="cellIs" dxfId="0" priority="2658" operator="equal">
      <formula>"未完成"</formula>
    </cfRule>
    <cfRule type="cellIs" dxfId="1" priority="2628" operator="equal">
      <formula>"未完成"</formula>
    </cfRule>
  </conditionalFormatting>
  <conditionalFormatting sqref="AK154">
    <cfRule type="cellIs" dxfId="0" priority="2508" operator="equal">
      <formula>"未完成"</formula>
    </cfRule>
    <cfRule type="cellIs" dxfId="1" priority="2478" operator="equal">
      <formula>"未完成"</formula>
    </cfRule>
  </conditionalFormatting>
  <conditionalFormatting sqref="AN154">
    <cfRule type="cellIs" dxfId="0" priority="2448" operator="equal">
      <formula>"未完成"</formula>
    </cfRule>
    <cfRule type="cellIs" dxfId="1" priority="2418" operator="equal">
      <formula>"未完成"</formula>
    </cfRule>
  </conditionalFormatting>
  <conditionalFormatting sqref="AO154">
    <cfRule type="cellIs" dxfId="0" priority="2838" operator="equal">
      <formula>"未完成"</formula>
    </cfRule>
    <cfRule type="cellIs" dxfId="1" priority="2808" operator="equal">
      <formula>"未完成"</formula>
    </cfRule>
  </conditionalFormatting>
  <conditionalFormatting sqref="AR154">
    <cfRule type="cellIs" dxfId="0" priority="2718" operator="equal">
      <formula>"未完成"</formula>
    </cfRule>
    <cfRule type="cellIs" dxfId="1" priority="2688" operator="equal">
      <formula>"未完成"</formula>
    </cfRule>
  </conditionalFormatting>
  <conditionalFormatting sqref="AS154:AT154">
    <cfRule type="cellIs" dxfId="0" priority="2898" operator="equal">
      <formula>"未完成"</formula>
    </cfRule>
    <cfRule type="cellIs" dxfId="1" priority="2868" operator="equal">
      <formula>"未完成"</formula>
    </cfRule>
  </conditionalFormatting>
  <conditionalFormatting sqref="R155">
    <cfRule type="cellIs" dxfId="0" priority="2597" operator="equal">
      <formula>"欠"</formula>
    </cfRule>
  </conditionalFormatting>
  <conditionalFormatting sqref="T155">
    <cfRule type="cellIs" dxfId="0" priority="2387" operator="equal">
      <formula>"欠"</formula>
    </cfRule>
  </conditionalFormatting>
  <conditionalFormatting sqref="AC155">
    <cfRule type="cellIs" dxfId="0" priority="2927" operator="equal">
      <formula>"未完成"</formula>
    </cfRule>
  </conditionalFormatting>
  <conditionalFormatting sqref="AG155:AH155">
    <cfRule type="cellIs" dxfId="0" priority="2987" operator="equal">
      <formula>"未完成"</formula>
    </cfRule>
    <cfRule type="cellIs" dxfId="1" priority="2957" operator="equal">
      <formula>"未完成"</formula>
    </cfRule>
  </conditionalFormatting>
  <conditionalFormatting sqref="AI155">
    <cfRule type="cellIs" dxfId="0" priority="2657" operator="equal">
      <formula>"未完成"</formula>
    </cfRule>
    <cfRule type="cellIs" dxfId="1" priority="2627" operator="equal">
      <formula>"未完成"</formula>
    </cfRule>
  </conditionalFormatting>
  <conditionalFormatting sqref="AK155">
    <cfRule type="cellIs" dxfId="0" priority="2507" operator="equal">
      <formula>"未完成"</formula>
    </cfRule>
    <cfRule type="cellIs" dxfId="1" priority="2477" operator="equal">
      <formula>"未完成"</formula>
    </cfRule>
  </conditionalFormatting>
  <conditionalFormatting sqref="AN155">
    <cfRule type="cellIs" dxfId="0" priority="2447" operator="equal">
      <formula>"未完成"</formula>
    </cfRule>
    <cfRule type="cellIs" dxfId="1" priority="2417" operator="equal">
      <formula>"未完成"</formula>
    </cfRule>
  </conditionalFormatting>
  <conditionalFormatting sqref="AO155">
    <cfRule type="cellIs" dxfId="0" priority="2837" operator="equal">
      <formula>"未完成"</formula>
    </cfRule>
    <cfRule type="cellIs" dxfId="1" priority="2807" operator="equal">
      <formula>"未完成"</formula>
    </cfRule>
  </conditionalFormatting>
  <conditionalFormatting sqref="AR155">
    <cfRule type="cellIs" dxfId="0" priority="2717" operator="equal">
      <formula>"未完成"</formula>
    </cfRule>
    <cfRule type="cellIs" dxfId="1" priority="2687" operator="equal">
      <formula>"未完成"</formula>
    </cfRule>
  </conditionalFormatting>
  <conditionalFormatting sqref="AS155:AT155">
    <cfRule type="cellIs" dxfId="0" priority="2897" operator="equal">
      <formula>"未完成"</formula>
    </cfRule>
    <cfRule type="cellIs" dxfId="1" priority="2867" operator="equal">
      <formula>"未完成"</formula>
    </cfRule>
  </conditionalFormatting>
  <conditionalFormatting sqref="R156">
    <cfRule type="cellIs" dxfId="0" priority="2596" operator="equal">
      <formula>"欠"</formula>
    </cfRule>
  </conditionalFormatting>
  <conditionalFormatting sqref="T156">
    <cfRule type="cellIs" dxfId="0" priority="2386" operator="equal">
      <formula>"欠"</formula>
    </cfRule>
  </conditionalFormatting>
  <conditionalFormatting sqref="AC156">
    <cfRule type="cellIs" dxfId="0" priority="2926" operator="equal">
      <formula>"未完成"</formula>
    </cfRule>
  </conditionalFormatting>
  <conditionalFormatting sqref="AG156:AH156">
    <cfRule type="cellIs" dxfId="0" priority="2986" operator="equal">
      <formula>"未完成"</formula>
    </cfRule>
    <cfRule type="cellIs" dxfId="1" priority="2956" operator="equal">
      <formula>"未完成"</formula>
    </cfRule>
  </conditionalFormatting>
  <conditionalFormatting sqref="AI156">
    <cfRule type="cellIs" dxfId="0" priority="2656" operator="equal">
      <formula>"未完成"</formula>
    </cfRule>
    <cfRule type="cellIs" dxfId="1" priority="2626" operator="equal">
      <formula>"未完成"</formula>
    </cfRule>
  </conditionalFormatting>
  <conditionalFormatting sqref="AK156">
    <cfRule type="cellIs" dxfId="0" priority="2506" operator="equal">
      <formula>"未完成"</formula>
    </cfRule>
    <cfRule type="cellIs" dxfId="1" priority="2476" operator="equal">
      <formula>"未完成"</formula>
    </cfRule>
  </conditionalFormatting>
  <conditionalFormatting sqref="AN156">
    <cfRule type="cellIs" dxfId="0" priority="2446" operator="equal">
      <formula>"未完成"</formula>
    </cfRule>
    <cfRule type="cellIs" dxfId="1" priority="2416" operator="equal">
      <formula>"未完成"</formula>
    </cfRule>
  </conditionalFormatting>
  <conditionalFormatting sqref="AO156">
    <cfRule type="cellIs" dxfId="0" priority="2836" operator="equal">
      <formula>"未完成"</formula>
    </cfRule>
    <cfRule type="cellIs" dxfId="1" priority="2806" operator="equal">
      <formula>"未完成"</formula>
    </cfRule>
  </conditionalFormatting>
  <conditionalFormatting sqref="AR156">
    <cfRule type="cellIs" dxfId="0" priority="2716" operator="equal">
      <formula>"未完成"</formula>
    </cfRule>
    <cfRule type="cellIs" dxfId="1" priority="2686" operator="equal">
      <formula>"未完成"</formula>
    </cfRule>
  </conditionalFormatting>
  <conditionalFormatting sqref="AS156:AT156">
    <cfRule type="cellIs" dxfId="0" priority="2896" operator="equal">
      <formula>"未完成"</formula>
    </cfRule>
    <cfRule type="cellIs" dxfId="1" priority="2866" operator="equal">
      <formula>"未完成"</formula>
    </cfRule>
  </conditionalFormatting>
  <conditionalFormatting sqref="R157">
    <cfRule type="cellIs" dxfId="0" priority="2595" operator="equal">
      <formula>"欠"</formula>
    </cfRule>
  </conditionalFormatting>
  <conditionalFormatting sqref="T157">
    <cfRule type="cellIs" dxfId="0" priority="2385" operator="equal">
      <formula>"欠"</formula>
    </cfRule>
  </conditionalFormatting>
  <conditionalFormatting sqref="AC157">
    <cfRule type="cellIs" dxfId="0" priority="2925" operator="equal">
      <formula>"未完成"</formula>
    </cfRule>
  </conditionalFormatting>
  <conditionalFormatting sqref="AG157:AH157">
    <cfRule type="cellIs" dxfId="0" priority="2985" operator="equal">
      <formula>"未完成"</formula>
    </cfRule>
    <cfRule type="cellIs" dxfId="1" priority="2955" operator="equal">
      <formula>"未完成"</formula>
    </cfRule>
  </conditionalFormatting>
  <conditionalFormatting sqref="AI157">
    <cfRule type="cellIs" dxfId="0" priority="2655" operator="equal">
      <formula>"未完成"</formula>
    </cfRule>
    <cfRule type="cellIs" dxfId="1" priority="2625" operator="equal">
      <formula>"未完成"</formula>
    </cfRule>
  </conditionalFormatting>
  <conditionalFormatting sqref="AK157">
    <cfRule type="cellIs" dxfId="0" priority="2505" operator="equal">
      <formula>"未完成"</formula>
    </cfRule>
    <cfRule type="cellIs" dxfId="1" priority="2475" operator="equal">
      <formula>"未完成"</formula>
    </cfRule>
  </conditionalFormatting>
  <conditionalFormatting sqref="AN157">
    <cfRule type="cellIs" dxfId="0" priority="2445" operator="equal">
      <formula>"未完成"</formula>
    </cfRule>
    <cfRule type="cellIs" dxfId="1" priority="2415" operator="equal">
      <formula>"未完成"</formula>
    </cfRule>
  </conditionalFormatting>
  <conditionalFormatting sqref="AO157">
    <cfRule type="cellIs" dxfId="0" priority="2835" operator="equal">
      <formula>"未完成"</formula>
    </cfRule>
    <cfRule type="cellIs" dxfId="1" priority="2805" operator="equal">
      <formula>"未完成"</formula>
    </cfRule>
  </conditionalFormatting>
  <conditionalFormatting sqref="AR157">
    <cfRule type="cellIs" dxfId="0" priority="2715" operator="equal">
      <formula>"未完成"</formula>
    </cfRule>
    <cfRule type="cellIs" dxfId="1" priority="2685" operator="equal">
      <formula>"未完成"</formula>
    </cfRule>
  </conditionalFormatting>
  <conditionalFormatting sqref="AS157:AT157">
    <cfRule type="cellIs" dxfId="0" priority="2895" operator="equal">
      <formula>"未完成"</formula>
    </cfRule>
    <cfRule type="cellIs" dxfId="1" priority="2865" operator="equal">
      <formula>"未完成"</formula>
    </cfRule>
  </conditionalFormatting>
  <conditionalFormatting sqref="R158">
    <cfRule type="cellIs" dxfId="0" priority="2594" operator="equal">
      <formula>"欠"</formula>
    </cfRule>
  </conditionalFormatting>
  <conditionalFormatting sqref="T158">
    <cfRule type="cellIs" dxfId="0" priority="2384" operator="equal">
      <formula>"欠"</formula>
    </cfRule>
  </conditionalFormatting>
  <conditionalFormatting sqref="AC158">
    <cfRule type="cellIs" dxfId="0" priority="2924" operator="equal">
      <formula>"未完成"</formula>
    </cfRule>
  </conditionalFormatting>
  <conditionalFormatting sqref="AG158:AH158">
    <cfRule type="cellIs" dxfId="0" priority="2984" operator="equal">
      <formula>"未完成"</formula>
    </cfRule>
    <cfRule type="cellIs" dxfId="1" priority="2954" operator="equal">
      <formula>"未完成"</formula>
    </cfRule>
  </conditionalFormatting>
  <conditionalFormatting sqref="AI158">
    <cfRule type="cellIs" dxfId="0" priority="2654" operator="equal">
      <formula>"未完成"</formula>
    </cfRule>
    <cfRule type="cellIs" dxfId="1" priority="2624" operator="equal">
      <formula>"未完成"</formula>
    </cfRule>
  </conditionalFormatting>
  <conditionalFormatting sqref="AJ158">
    <cfRule type="cellIs" dxfId="0" priority="2774" operator="equal">
      <formula>"未完成"</formula>
    </cfRule>
    <cfRule type="cellIs" dxfId="1" priority="2744" operator="equal">
      <formula>"未完成"</formula>
    </cfRule>
  </conditionalFormatting>
  <conditionalFormatting sqref="AK158">
    <cfRule type="cellIs" dxfId="0" priority="2504" operator="equal">
      <formula>"未完成"</formula>
    </cfRule>
    <cfRule type="cellIs" dxfId="1" priority="2474" operator="equal">
      <formula>"未完成"</formula>
    </cfRule>
  </conditionalFormatting>
  <conditionalFormatting sqref="AN158">
    <cfRule type="cellIs" dxfId="0" priority="2444" operator="equal">
      <formula>"未完成"</formula>
    </cfRule>
    <cfRule type="cellIs" dxfId="1" priority="2414" operator="equal">
      <formula>"未完成"</formula>
    </cfRule>
  </conditionalFormatting>
  <conditionalFormatting sqref="AO158">
    <cfRule type="cellIs" dxfId="0" priority="2834" operator="equal">
      <formula>"未完成"</formula>
    </cfRule>
    <cfRule type="cellIs" dxfId="1" priority="2804" operator="equal">
      <formula>"未完成"</formula>
    </cfRule>
  </conditionalFormatting>
  <conditionalFormatting sqref="AR158">
    <cfRule type="cellIs" dxfId="0" priority="2714" operator="equal">
      <formula>"未完成"</formula>
    </cfRule>
    <cfRule type="cellIs" dxfId="1" priority="2684" operator="equal">
      <formula>"未完成"</formula>
    </cfRule>
  </conditionalFormatting>
  <conditionalFormatting sqref="AS158:AT158">
    <cfRule type="cellIs" dxfId="0" priority="2894" operator="equal">
      <formula>"未完成"</formula>
    </cfRule>
    <cfRule type="cellIs" dxfId="1" priority="2864" operator="equal">
      <formula>"未完成"</formula>
    </cfRule>
  </conditionalFormatting>
  <conditionalFormatting sqref="R159">
    <cfRule type="cellIs" dxfId="0" priority="2593" operator="equal">
      <formula>"欠"</formula>
    </cfRule>
  </conditionalFormatting>
  <conditionalFormatting sqref="T159">
    <cfRule type="cellIs" dxfId="0" priority="2383" operator="equal">
      <formula>"欠"</formula>
    </cfRule>
  </conditionalFormatting>
  <conditionalFormatting sqref="AC159">
    <cfRule type="cellIs" dxfId="0" priority="2923" operator="equal">
      <formula>"未完成"</formula>
    </cfRule>
  </conditionalFormatting>
  <conditionalFormatting sqref="AG159:AH159">
    <cfRule type="cellIs" dxfId="0" priority="2983" operator="equal">
      <formula>"未完成"</formula>
    </cfRule>
    <cfRule type="cellIs" dxfId="1" priority="2953" operator="equal">
      <formula>"未完成"</formula>
    </cfRule>
  </conditionalFormatting>
  <conditionalFormatting sqref="AI159">
    <cfRule type="cellIs" dxfId="0" priority="2653" operator="equal">
      <formula>"未完成"</formula>
    </cfRule>
    <cfRule type="cellIs" dxfId="1" priority="2623" operator="equal">
      <formula>"未完成"</formula>
    </cfRule>
  </conditionalFormatting>
  <conditionalFormatting sqref="AJ159">
    <cfRule type="cellIs" dxfId="0" priority="2773" operator="equal">
      <formula>"未完成"</formula>
    </cfRule>
    <cfRule type="cellIs" dxfId="1" priority="2743" operator="equal">
      <formula>"未完成"</formula>
    </cfRule>
  </conditionalFormatting>
  <conditionalFormatting sqref="AK159">
    <cfRule type="cellIs" dxfId="0" priority="2503" operator="equal">
      <formula>"未完成"</formula>
    </cfRule>
    <cfRule type="cellIs" dxfId="1" priority="2473" operator="equal">
      <formula>"未完成"</formula>
    </cfRule>
  </conditionalFormatting>
  <conditionalFormatting sqref="AN159">
    <cfRule type="cellIs" dxfId="0" priority="2443" operator="equal">
      <formula>"未完成"</formula>
    </cfRule>
    <cfRule type="cellIs" dxfId="1" priority="2413" operator="equal">
      <formula>"未完成"</formula>
    </cfRule>
  </conditionalFormatting>
  <conditionalFormatting sqref="AO159">
    <cfRule type="cellIs" dxfId="0" priority="2833" operator="equal">
      <formula>"未完成"</formula>
    </cfRule>
    <cfRule type="cellIs" dxfId="1" priority="2803" operator="equal">
      <formula>"未完成"</formula>
    </cfRule>
  </conditionalFormatting>
  <conditionalFormatting sqref="AR159">
    <cfRule type="cellIs" dxfId="0" priority="2713" operator="equal">
      <formula>"未完成"</formula>
    </cfRule>
    <cfRule type="cellIs" dxfId="1" priority="2683" operator="equal">
      <formula>"未完成"</formula>
    </cfRule>
  </conditionalFormatting>
  <conditionalFormatting sqref="AS159:AT159">
    <cfRule type="cellIs" dxfId="0" priority="2893" operator="equal">
      <formula>"未完成"</formula>
    </cfRule>
    <cfRule type="cellIs" dxfId="1" priority="2863" operator="equal">
      <formula>"未完成"</formula>
    </cfRule>
  </conditionalFormatting>
  <conditionalFormatting sqref="R160">
    <cfRule type="cellIs" dxfId="0" priority="2592" operator="equal">
      <formula>"欠"</formula>
    </cfRule>
  </conditionalFormatting>
  <conditionalFormatting sqref="T160">
    <cfRule type="cellIs" dxfId="0" priority="2382" operator="equal">
      <formula>"欠"</formula>
    </cfRule>
  </conditionalFormatting>
  <conditionalFormatting sqref="AC160">
    <cfRule type="cellIs" dxfId="0" priority="2922" operator="equal">
      <formula>"未完成"</formula>
    </cfRule>
  </conditionalFormatting>
  <conditionalFormatting sqref="AG160:AH160">
    <cfRule type="cellIs" dxfId="0" priority="2982" operator="equal">
      <formula>"未完成"</formula>
    </cfRule>
    <cfRule type="cellIs" dxfId="1" priority="2952" operator="equal">
      <formula>"未完成"</formula>
    </cfRule>
  </conditionalFormatting>
  <conditionalFormatting sqref="AI160">
    <cfRule type="cellIs" dxfId="0" priority="2652" operator="equal">
      <formula>"未完成"</formula>
    </cfRule>
    <cfRule type="cellIs" dxfId="1" priority="2622" operator="equal">
      <formula>"未完成"</formula>
    </cfRule>
  </conditionalFormatting>
  <conditionalFormatting sqref="AJ160">
    <cfRule type="cellIs" dxfId="0" priority="2772" operator="equal">
      <formula>"未完成"</formula>
    </cfRule>
    <cfRule type="cellIs" dxfId="1" priority="2742" operator="equal">
      <formula>"未完成"</formula>
    </cfRule>
  </conditionalFormatting>
  <conditionalFormatting sqref="AK160">
    <cfRule type="cellIs" dxfId="0" priority="2502" operator="equal">
      <formula>"未完成"</formula>
    </cfRule>
    <cfRule type="cellIs" dxfId="1" priority="2472" operator="equal">
      <formula>"未完成"</formula>
    </cfRule>
  </conditionalFormatting>
  <conditionalFormatting sqref="AN160">
    <cfRule type="cellIs" dxfId="0" priority="2442" operator="equal">
      <formula>"未完成"</formula>
    </cfRule>
    <cfRule type="cellIs" dxfId="1" priority="2412" operator="equal">
      <formula>"未完成"</formula>
    </cfRule>
  </conditionalFormatting>
  <conditionalFormatting sqref="AO160">
    <cfRule type="cellIs" dxfId="0" priority="2832" operator="equal">
      <formula>"未完成"</formula>
    </cfRule>
    <cfRule type="cellIs" dxfId="1" priority="2802" operator="equal">
      <formula>"未完成"</formula>
    </cfRule>
  </conditionalFormatting>
  <conditionalFormatting sqref="AR160">
    <cfRule type="cellIs" dxfId="0" priority="2712" operator="equal">
      <formula>"未完成"</formula>
    </cfRule>
    <cfRule type="cellIs" dxfId="1" priority="2682" operator="equal">
      <formula>"未完成"</formula>
    </cfRule>
  </conditionalFormatting>
  <conditionalFormatting sqref="AS160:AT160">
    <cfRule type="cellIs" dxfId="0" priority="2892" operator="equal">
      <formula>"未完成"</formula>
    </cfRule>
    <cfRule type="cellIs" dxfId="1" priority="2862" operator="equal">
      <formula>"未完成"</formula>
    </cfRule>
  </conditionalFormatting>
  <conditionalFormatting sqref="R161">
    <cfRule type="cellIs" dxfId="0" priority="2591" operator="equal">
      <formula>"欠"</formula>
    </cfRule>
  </conditionalFormatting>
  <conditionalFormatting sqref="T161">
    <cfRule type="cellIs" dxfId="0" priority="2381" operator="equal">
      <formula>"欠"</formula>
    </cfRule>
  </conditionalFormatting>
  <conditionalFormatting sqref="AC161">
    <cfRule type="cellIs" dxfId="0" priority="2921" operator="equal">
      <formula>"未完成"</formula>
    </cfRule>
  </conditionalFormatting>
  <conditionalFormatting sqref="AG161:AH161">
    <cfRule type="cellIs" dxfId="0" priority="2981" operator="equal">
      <formula>"未完成"</formula>
    </cfRule>
    <cfRule type="cellIs" dxfId="1" priority="2951" operator="equal">
      <formula>"未完成"</formula>
    </cfRule>
  </conditionalFormatting>
  <conditionalFormatting sqref="AI161">
    <cfRule type="cellIs" dxfId="0" priority="2651" operator="equal">
      <formula>"未完成"</formula>
    </cfRule>
    <cfRule type="cellIs" dxfId="1" priority="2621" operator="equal">
      <formula>"未完成"</formula>
    </cfRule>
  </conditionalFormatting>
  <conditionalFormatting sqref="AJ161">
    <cfRule type="cellIs" dxfId="0" priority="2771" operator="equal">
      <formula>"未完成"</formula>
    </cfRule>
    <cfRule type="cellIs" dxfId="1" priority="2741" operator="equal">
      <formula>"未完成"</formula>
    </cfRule>
  </conditionalFormatting>
  <conditionalFormatting sqref="AK161">
    <cfRule type="cellIs" dxfId="0" priority="2501" operator="equal">
      <formula>"未完成"</formula>
    </cfRule>
    <cfRule type="cellIs" dxfId="1" priority="2471" operator="equal">
      <formula>"未完成"</formula>
    </cfRule>
  </conditionalFormatting>
  <conditionalFormatting sqref="AN161">
    <cfRule type="cellIs" dxfId="0" priority="2441" operator="equal">
      <formula>"未完成"</formula>
    </cfRule>
    <cfRule type="cellIs" dxfId="1" priority="2411" operator="equal">
      <formula>"未完成"</formula>
    </cfRule>
  </conditionalFormatting>
  <conditionalFormatting sqref="AO161">
    <cfRule type="cellIs" dxfId="0" priority="2831" operator="equal">
      <formula>"未完成"</formula>
    </cfRule>
    <cfRule type="cellIs" dxfId="1" priority="2801" operator="equal">
      <formula>"未完成"</formula>
    </cfRule>
  </conditionalFormatting>
  <conditionalFormatting sqref="AR161">
    <cfRule type="cellIs" dxfId="0" priority="2711" operator="equal">
      <formula>"未完成"</formula>
    </cfRule>
    <cfRule type="cellIs" dxfId="1" priority="2681" operator="equal">
      <formula>"未完成"</formula>
    </cfRule>
  </conditionalFormatting>
  <conditionalFormatting sqref="AS161:AT161">
    <cfRule type="cellIs" dxfId="0" priority="2891" operator="equal">
      <formula>"未完成"</formula>
    </cfRule>
    <cfRule type="cellIs" dxfId="1" priority="2861" operator="equal">
      <formula>"未完成"</formula>
    </cfRule>
  </conditionalFormatting>
  <conditionalFormatting sqref="R162">
    <cfRule type="cellIs" dxfId="0" priority="2590" operator="equal">
      <formula>"欠"</formula>
    </cfRule>
  </conditionalFormatting>
  <conditionalFormatting sqref="T162">
    <cfRule type="cellIs" dxfId="0" priority="2380" operator="equal">
      <formula>"欠"</formula>
    </cfRule>
  </conditionalFormatting>
  <conditionalFormatting sqref="AC162">
    <cfRule type="cellIs" dxfId="0" priority="2920" operator="equal">
      <formula>"未完成"</formula>
    </cfRule>
  </conditionalFormatting>
  <conditionalFormatting sqref="AG162:AH162">
    <cfRule type="cellIs" dxfId="0" priority="2980" operator="equal">
      <formula>"未完成"</formula>
    </cfRule>
    <cfRule type="cellIs" dxfId="1" priority="2950" operator="equal">
      <formula>"未完成"</formula>
    </cfRule>
  </conditionalFormatting>
  <conditionalFormatting sqref="AI162">
    <cfRule type="cellIs" dxfId="0" priority="2650" operator="equal">
      <formula>"未完成"</formula>
    </cfRule>
    <cfRule type="cellIs" dxfId="1" priority="2620" operator="equal">
      <formula>"未完成"</formula>
    </cfRule>
  </conditionalFormatting>
  <conditionalFormatting sqref="AJ162">
    <cfRule type="cellIs" dxfId="0" priority="2770" operator="equal">
      <formula>"未完成"</formula>
    </cfRule>
    <cfRule type="cellIs" dxfId="1" priority="2740" operator="equal">
      <formula>"未完成"</formula>
    </cfRule>
  </conditionalFormatting>
  <conditionalFormatting sqref="AK162">
    <cfRule type="cellIs" dxfId="0" priority="2500" operator="equal">
      <formula>"未完成"</formula>
    </cfRule>
    <cfRule type="cellIs" dxfId="1" priority="2470" operator="equal">
      <formula>"未完成"</formula>
    </cfRule>
  </conditionalFormatting>
  <conditionalFormatting sqref="AN162">
    <cfRule type="cellIs" dxfId="0" priority="2440" operator="equal">
      <formula>"未完成"</formula>
    </cfRule>
    <cfRule type="cellIs" dxfId="1" priority="2410" operator="equal">
      <formula>"未完成"</formula>
    </cfRule>
  </conditionalFormatting>
  <conditionalFormatting sqref="AO162">
    <cfRule type="cellIs" dxfId="0" priority="2830" operator="equal">
      <formula>"未完成"</formula>
    </cfRule>
    <cfRule type="cellIs" dxfId="1" priority="2800" operator="equal">
      <formula>"未完成"</formula>
    </cfRule>
  </conditionalFormatting>
  <conditionalFormatting sqref="AR162">
    <cfRule type="cellIs" dxfId="0" priority="2710" operator="equal">
      <formula>"未完成"</formula>
    </cfRule>
    <cfRule type="cellIs" dxfId="1" priority="2680" operator="equal">
      <formula>"未完成"</formula>
    </cfRule>
  </conditionalFormatting>
  <conditionalFormatting sqref="AS162:AT162">
    <cfRule type="cellIs" dxfId="0" priority="2890" operator="equal">
      <formula>"未完成"</formula>
    </cfRule>
    <cfRule type="cellIs" dxfId="1" priority="2860" operator="equal">
      <formula>"未完成"</formula>
    </cfRule>
  </conditionalFormatting>
  <conditionalFormatting sqref="R163">
    <cfRule type="cellIs" dxfId="0" priority="2589" operator="equal">
      <formula>"欠"</formula>
    </cfRule>
  </conditionalFormatting>
  <conditionalFormatting sqref="T163">
    <cfRule type="cellIs" dxfId="0" priority="2379" operator="equal">
      <formula>"欠"</formula>
    </cfRule>
  </conditionalFormatting>
  <conditionalFormatting sqref="AC163">
    <cfRule type="cellIs" dxfId="0" priority="2919" operator="equal">
      <formula>"未完成"</formula>
    </cfRule>
  </conditionalFormatting>
  <conditionalFormatting sqref="AG163:AH163">
    <cfRule type="cellIs" dxfId="0" priority="2979" operator="equal">
      <formula>"未完成"</formula>
    </cfRule>
    <cfRule type="cellIs" dxfId="1" priority="2949" operator="equal">
      <formula>"未完成"</formula>
    </cfRule>
  </conditionalFormatting>
  <conditionalFormatting sqref="AI163">
    <cfRule type="cellIs" dxfId="0" priority="2649" operator="equal">
      <formula>"未完成"</formula>
    </cfRule>
    <cfRule type="cellIs" dxfId="1" priority="2619" operator="equal">
      <formula>"未完成"</formula>
    </cfRule>
  </conditionalFormatting>
  <conditionalFormatting sqref="AJ163">
    <cfRule type="cellIs" dxfId="0" priority="2769" operator="equal">
      <formula>"未完成"</formula>
    </cfRule>
    <cfRule type="cellIs" dxfId="1" priority="2739" operator="equal">
      <formula>"未完成"</formula>
    </cfRule>
  </conditionalFormatting>
  <conditionalFormatting sqref="AK163">
    <cfRule type="cellIs" dxfId="0" priority="2499" operator="equal">
      <formula>"未完成"</formula>
    </cfRule>
    <cfRule type="cellIs" dxfId="1" priority="2469" operator="equal">
      <formula>"未完成"</formula>
    </cfRule>
  </conditionalFormatting>
  <conditionalFormatting sqref="AN163">
    <cfRule type="cellIs" dxfId="0" priority="2439" operator="equal">
      <formula>"未完成"</formula>
    </cfRule>
    <cfRule type="cellIs" dxfId="1" priority="2409" operator="equal">
      <formula>"未完成"</formula>
    </cfRule>
  </conditionalFormatting>
  <conditionalFormatting sqref="AO163">
    <cfRule type="cellIs" dxfId="0" priority="2829" operator="equal">
      <formula>"未完成"</formula>
    </cfRule>
    <cfRule type="cellIs" dxfId="1" priority="2799" operator="equal">
      <formula>"未完成"</formula>
    </cfRule>
  </conditionalFormatting>
  <conditionalFormatting sqref="AR163">
    <cfRule type="cellIs" dxfId="0" priority="2709" operator="equal">
      <formula>"未完成"</formula>
    </cfRule>
    <cfRule type="cellIs" dxfId="1" priority="2679" operator="equal">
      <formula>"未完成"</formula>
    </cfRule>
  </conditionalFormatting>
  <conditionalFormatting sqref="AS163:AT163">
    <cfRule type="cellIs" dxfId="0" priority="2889" operator="equal">
      <formula>"未完成"</formula>
    </cfRule>
    <cfRule type="cellIs" dxfId="1" priority="2859" operator="equal">
      <formula>"未完成"</formula>
    </cfRule>
  </conditionalFormatting>
  <conditionalFormatting sqref="R164">
    <cfRule type="cellIs" dxfId="0" priority="2588" operator="equal">
      <formula>"欠"</formula>
    </cfRule>
  </conditionalFormatting>
  <conditionalFormatting sqref="T164">
    <cfRule type="cellIs" dxfId="0" priority="2378" operator="equal">
      <formula>"欠"</formula>
    </cfRule>
  </conditionalFormatting>
  <conditionalFormatting sqref="AC164">
    <cfRule type="cellIs" dxfId="0" priority="2918" operator="equal">
      <formula>"未完成"</formula>
    </cfRule>
  </conditionalFormatting>
  <conditionalFormatting sqref="AG164:AH164">
    <cfRule type="cellIs" dxfId="0" priority="2978" operator="equal">
      <formula>"未完成"</formula>
    </cfRule>
    <cfRule type="cellIs" dxfId="1" priority="2948" operator="equal">
      <formula>"未完成"</formula>
    </cfRule>
  </conditionalFormatting>
  <conditionalFormatting sqref="AI164">
    <cfRule type="cellIs" dxfId="0" priority="2648" operator="equal">
      <formula>"未完成"</formula>
    </cfRule>
    <cfRule type="cellIs" dxfId="1" priority="2618" operator="equal">
      <formula>"未完成"</formula>
    </cfRule>
  </conditionalFormatting>
  <conditionalFormatting sqref="AJ164">
    <cfRule type="cellIs" dxfId="0" priority="2768" operator="equal">
      <formula>"未完成"</formula>
    </cfRule>
    <cfRule type="cellIs" dxfId="1" priority="2738" operator="equal">
      <formula>"未完成"</formula>
    </cfRule>
  </conditionalFormatting>
  <conditionalFormatting sqref="AK164">
    <cfRule type="cellIs" dxfId="0" priority="2498" operator="equal">
      <formula>"未完成"</formula>
    </cfRule>
    <cfRule type="cellIs" dxfId="1" priority="2468" operator="equal">
      <formula>"未完成"</formula>
    </cfRule>
  </conditionalFormatting>
  <conditionalFormatting sqref="AN164">
    <cfRule type="cellIs" dxfId="0" priority="2438" operator="equal">
      <formula>"未完成"</formula>
    </cfRule>
    <cfRule type="cellIs" dxfId="1" priority="2408" operator="equal">
      <formula>"未完成"</formula>
    </cfRule>
  </conditionalFormatting>
  <conditionalFormatting sqref="AO164">
    <cfRule type="cellIs" dxfId="0" priority="2828" operator="equal">
      <formula>"未完成"</formula>
    </cfRule>
    <cfRule type="cellIs" dxfId="1" priority="2798" operator="equal">
      <formula>"未完成"</formula>
    </cfRule>
  </conditionalFormatting>
  <conditionalFormatting sqref="AR164">
    <cfRule type="cellIs" dxfId="0" priority="2708" operator="equal">
      <formula>"未完成"</formula>
    </cfRule>
    <cfRule type="cellIs" dxfId="1" priority="2678" operator="equal">
      <formula>"未完成"</formula>
    </cfRule>
  </conditionalFormatting>
  <conditionalFormatting sqref="AS164:AT164">
    <cfRule type="cellIs" dxfId="0" priority="2888" operator="equal">
      <formula>"未完成"</formula>
    </cfRule>
    <cfRule type="cellIs" dxfId="1" priority="2858" operator="equal">
      <formula>"未完成"</formula>
    </cfRule>
  </conditionalFormatting>
  <conditionalFormatting sqref="R165">
    <cfRule type="cellIs" dxfId="0" priority="2587" operator="equal">
      <formula>"欠"</formula>
    </cfRule>
  </conditionalFormatting>
  <conditionalFormatting sqref="T165">
    <cfRule type="cellIs" dxfId="0" priority="2377" operator="equal">
      <formula>"欠"</formula>
    </cfRule>
  </conditionalFormatting>
  <conditionalFormatting sqref="AC165">
    <cfRule type="cellIs" dxfId="0" priority="2917" operator="equal">
      <formula>"未完成"</formula>
    </cfRule>
  </conditionalFormatting>
  <conditionalFormatting sqref="AG165:AH165">
    <cfRule type="cellIs" dxfId="0" priority="2977" operator="equal">
      <formula>"未完成"</formula>
    </cfRule>
    <cfRule type="cellIs" dxfId="1" priority="2947" operator="equal">
      <formula>"未完成"</formula>
    </cfRule>
  </conditionalFormatting>
  <conditionalFormatting sqref="AI165">
    <cfRule type="cellIs" dxfId="0" priority="2647" operator="equal">
      <formula>"未完成"</formula>
    </cfRule>
    <cfRule type="cellIs" dxfId="1" priority="2617" operator="equal">
      <formula>"未完成"</formula>
    </cfRule>
  </conditionalFormatting>
  <conditionalFormatting sqref="AJ165">
    <cfRule type="cellIs" dxfId="0" priority="2767" operator="equal">
      <formula>"未完成"</formula>
    </cfRule>
    <cfRule type="cellIs" dxfId="1" priority="2737" operator="equal">
      <formula>"未完成"</formula>
    </cfRule>
  </conditionalFormatting>
  <conditionalFormatting sqref="AK165">
    <cfRule type="cellIs" dxfId="0" priority="2497" operator="equal">
      <formula>"未完成"</formula>
    </cfRule>
    <cfRule type="cellIs" dxfId="1" priority="2467" operator="equal">
      <formula>"未完成"</formula>
    </cfRule>
  </conditionalFormatting>
  <conditionalFormatting sqref="AN165">
    <cfRule type="cellIs" dxfId="0" priority="2437" operator="equal">
      <formula>"未完成"</formula>
    </cfRule>
    <cfRule type="cellIs" dxfId="1" priority="2407" operator="equal">
      <formula>"未完成"</formula>
    </cfRule>
  </conditionalFormatting>
  <conditionalFormatting sqref="AO165">
    <cfRule type="cellIs" dxfId="0" priority="2827" operator="equal">
      <formula>"未完成"</formula>
    </cfRule>
    <cfRule type="cellIs" dxfId="1" priority="2797" operator="equal">
      <formula>"未完成"</formula>
    </cfRule>
  </conditionalFormatting>
  <conditionalFormatting sqref="AR165">
    <cfRule type="cellIs" dxfId="0" priority="2707" operator="equal">
      <formula>"未完成"</formula>
    </cfRule>
    <cfRule type="cellIs" dxfId="1" priority="2677" operator="equal">
      <formula>"未完成"</formula>
    </cfRule>
  </conditionalFormatting>
  <conditionalFormatting sqref="AS165:AT165">
    <cfRule type="cellIs" dxfId="0" priority="2887" operator="equal">
      <formula>"未完成"</formula>
    </cfRule>
    <cfRule type="cellIs" dxfId="1" priority="2857" operator="equal">
      <formula>"未完成"</formula>
    </cfRule>
  </conditionalFormatting>
  <conditionalFormatting sqref="R166">
    <cfRule type="cellIs" dxfId="0" priority="2586" operator="equal">
      <formula>"欠"</formula>
    </cfRule>
  </conditionalFormatting>
  <conditionalFormatting sqref="T166">
    <cfRule type="cellIs" dxfId="0" priority="2376" operator="equal">
      <formula>"欠"</formula>
    </cfRule>
  </conditionalFormatting>
  <conditionalFormatting sqref="AC166">
    <cfRule type="cellIs" dxfId="0" priority="2916" operator="equal">
      <formula>"未完成"</formula>
    </cfRule>
  </conditionalFormatting>
  <conditionalFormatting sqref="AG166:AH166">
    <cfRule type="cellIs" dxfId="0" priority="2976" operator="equal">
      <formula>"未完成"</formula>
    </cfRule>
    <cfRule type="cellIs" dxfId="1" priority="2946" operator="equal">
      <formula>"未完成"</formula>
    </cfRule>
  </conditionalFormatting>
  <conditionalFormatting sqref="AI166">
    <cfRule type="cellIs" dxfId="0" priority="2646" operator="equal">
      <formula>"未完成"</formula>
    </cfRule>
    <cfRule type="cellIs" dxfId="1" priority="2616" operator="equal">
      <formula>"未完成"</formula>
    </cfRule>
  </conditionalFormatting>
  <conditionalFormatting sqref="AJ166">
    <cfRule type="cellIs" dxfId="0" priority="2766" operator="equal">
      <formula>"未完成"</formula>
    </cfRule>
    <cfRule type="cellIs" dxfId="1" priority="2736" operator="equal">
      <formula>"未完成"</formula>
    </cfRule>
  </conditionalFormatting>
  <conditionalFormatting sqref="AK166">
    <cfRule type="cellIs" dxfId="0" priority="2496" operator="equal">
      <formula>"未完成"</formula>
    </cfRule>
    <cfRule type="cellIs" dxfId="1" priority="2466" operator="equal">
      <formula>"未完成"</formula>
    </cfRule>
  </conditionalFormatting>
  <conditionalFormatting sqref="AN166">
    <cfRule type="cellIs" dxfId="0" priority="2436" operator="equal">
      <formula>"未完成"</formula>
    </cfRule>
    <cfRule type="cellIs" dxfId="1" priority="2406" operator="equal">
      <formula>"未完成"</formula>
    </cfRule>
  </conditionalFormatting>
  <conditionalFormatting sqref="AO166">
    <cfRule type="cellIs" dxfId="0" priority="2826" operator="equal">
      <formula>"未完成"</formula>
    </cfRule>
    <cfRule type="cellIs" dxfId="1" priority="2796" operator="equal">
      <formula>"未完成"</formula>
    </cfRule>
  </conditionalFormatting>
  <conditionalFormatting sqref="AR166">
    <cfRule type="cellIs" dxfId="0" priority="2706" operator="equal">
      <formula>"未完成"</formula>
    </cfRule>
    <cfRule type="cellIs" dxfId="1" priority="2676" operator="equal">
      <formula>"未完成"</formula>
    </cfRule>
  </conditionalFormatting>
  <conditionalFormatting sqref="AS166:AT166">
    <cfRule type="cellIs" dxfId="0" priority="2886" operator="equal">
      <formula>"未完成"</formula>
    </cfRule>
    <cfRule type="cellIs" dxfId="1" priority="2856" operator="equal">
      <formula>"未完成"</formula>
    </cfRule>
  </conditionalFormatting>
  <conditionalFormatting sqref="R167">
    <cfRule type="cellIs" dxfId="0" priority="2585" operator="equal">
      <formula>"欠"</formula>
    </cfRule>
  </conditionalFormatting>
  <conditionalFormatting sqref="T167">
    <cfRule type="cellIs" dxfId="0" priority="2375" operator="equal">
      <formula>"欠"</formula>
    </cfRule>
  </conditionalFormatting>
  <conditionalFormatting sqref="AC167">
    <cfRule type="cellIs" dxfId="0" priority="2915" operator="equal">
      <formula>"未完成"</formula>
    </cfRule>
  </conditionalFormatting>
  <conditionalFormatting sqref="AG167:AH167">
    <cfRule type="cellIs" dxfId="0" priority="2975" operator="equal">
      <formula>"未完成"</formula>
    </cfRule>
    <cfRule type="cellIs" dxfId="1" priority="2945" operator="equal">
      <formula>"未完成"</formula>
    </cfRule>
  </conditionalFormatting>
  <conditionalFormatting sqref="AI167">
    <cfRule type="cellIs" dxfId="0" priority="2645" operator="equal">
      <formula>"未完成"</formula>
    </cfRule>
    <cfRule type="cellIs" dxfId="1" priority="2615" operator="equal">
      <formula>"未完成"</formula>
    </cfRule>
  </conditionalFormatting>
  <conditionalFormatting sqref="AJ167">
    <cfRule type="cellIs" dxfId="0" priority="2765" operator="equal">
      <formula>"未完成"</formula>
    </cfRule>
    <cfRule type="cellIs" dxfId="1" priority="2735" operator="equal">
      <formula>"未完成"</formula>
    </cfRule>
  </conditionalFormatting>
  <conditionalFormatting sqref="AK167">
    <cfRule type="cellIs" dxfId="0" priority="2495" operator="equal">
      <formula>"未完成"</formula>
    </cfRule>
    <cfRule type="cellIs" dxfId="1" priority="2465" operator="equal">
      <formula>"未完成"</formula>
    </cfRule>
  </conditionalFormatting>
  <conditionalFormatting sqref="AN167">
    <cfRule type="cellIs" dxfId="0" priority="2435" operator="equal">
      <formula>"未完成"</formula>
    </cfRule>
    <cfRule type="cellIs" dxfId="1" priority="2405" operator="equal">
      <formula>"未完成"</formula>
    </cfRule>
  </conditionalFormatting>
  <conditionalFormatting sqref="AO167">
    <cfRule type="cellIs" dxfId="0" priority="2825" operator="equal">
      <formula>"未完成"</formula>
    </cfRule>
    <cfRule type="cellIs" dxfId="1" priority="2795" operator="equal">
      <formula>"未完成"</formula>
    </cfRule>
  </conditionalFormatting>
  <conditionalFormatting sqref="AR167">
    <cfRule type="cellIs" dxfId="0" priority="2705" operator="equal">
      <formula>"未完成"</formula>
    </cfRule>
    <cfRule type="cellIs" dxfId="1" priority="2675" operator="equal">
      <formula>"未完成"</formula>
    </cfRule>
  </conditionalFormatting>
  <conditionalFormatting sqref="AS167:AT167">
    <cfRule type="cellIs" dxfId="0" priority="2885" operator="equal">
      <formula>"未完成"</formula>
    </cfRule>
    <cfRule type="cellIs" dxfId="1" priority="2855" operator="equal">
      <formula>"未完成"</formula>
    </cfRule>
  </conditionalFormatting>
  <conditionalFormatting sqref="R168">
    <cfRule type="cellIs" dxfId="0" priority="2584" operator="equal">
      <formula>"欠"</formula>
    </cfRule>
  </conditionalFormatting>
  <conditionalFormatting sqref="T168">
    <cfRule type="cellIs" dxfId="0" priority="2374" operator="equal">
      <formula>"欠"</formula>
    </cfRule>
  </conditionalFormatting>
  <conditionalFormatting sqref="AC168">
    <cfRule type="cellIs" dxfId="0" priority="2914" operator="equal">
      <formula>"未完成"</formula>
    </cfRule>
  </conditionalFormatting>
  <conditionalFormatting sqref="AG168:AH168">
    <cfRule type="cellIs" dxfId="0" priority="2974" operator="equal">
      <formula>"未完成"</formula>
    </cfRule>
    <cfRule type="cellIs" dxfId="1" priority="2944" operator="equal">
      <formula>"未完成"</formula>
    </cfRule>
  </conditionalFormatting>
  <conditionalFormatting sqref="AI168">
    <cfRule type="cellIs" dxfId="0" priority="2644" operator="equal">
      <formula>"未完成"</formula>
    </cfRule>
    <cfRule type="cellIs" dxfId="1" priority="2614" operator="equal">
      <formula>"未完成"</formula>
    </cfRule>
  </conditionalFormatting>
  <conditionalFormatting sqref="AJ168">
    <cfRule type="cellIs" dxfId="0" priority="2764" operator="equal">
      <formula>"未完成"</formula>
    </cfRule>
    <cfRule type="cellIs" dxfId="1" priority="2734" operator="equal">
      <formula>"未完成"</formula>
    </cfRule>
  </conditionalFormatting>
  <conditionalFormatting sqref="AK168">
    <cfRule type="cellIs" dxfId="0" priority="2494" operator="equal">
      <formula>"未完成"</formula>
    </cfRule>
    <cfRule type="cellIs" dxfId="1" priority="2464" operator="equal">
      <formula>"未完成"</formula>
    </cfRule>
  </conditionalFormatting>
  <conditionalFormatting sqref="AN168">
    <cfRule type="cellIs" dxfId="0" priority="2434" operator="equal">
      <formula>"未完成"</formula>
    </cfRule>
    <cfRule type="cellIs" dxfId="1" priority="2404" operator="equal">
      <formula>"未完成"</formula>
    </cfRule>
  </conditionalFormatting>
  <conditionalFormatting sqref="AO168">
    <cfRule type="cellIs" dxfId="0" priority="2824" operator="equal">
      <formula>"未完成"</formula>
    </cfRule>
    <cfRule type="cellIs" dxfId="1" priority="2794" operator="equal">
      <formula>"未完成"</formula>
    </cfRule>
  </conditionalFormatting>
  <conditionalFormatting sqref="AR168">
    <cfRule type="cellIs" dxfId="0" priority="2704" operator="equal">
      <formula>"未完成"</formula>
    </cfRule>
    <cfRule type="cellIs" dxfId="1" priority="2674" operator="equal">
      <formula>"未完成"</formula>
    </cfRule>
  </conditionalFormatting>
  <conditionalFormatting sqref="AS168:AT168">
    <cfRule type="cellIs" dxfId="0" priority="2884" operator="equal">
      <formula>"未完成"</formula>
    </cfRule>
    <cfRule type="cellIs" dxfId="1" priority="2854" operator="equal">
      <formula>"未完成"</formula>
    </cfRule>
  </conditionalFormatting>
  <conditionalFormatting sqref="R169">
    <cfRule type="cellIs" dxfId="0" priority="2583" operator="equal">
      <formula>"欠"</formula>
    </cfRule>
  </conditionalFormatting>
  <conditionalFormatting sqref="T169">
    <cfRule type="cellIs" dxfId="0" priority="2373" operator="equal">
      <formula>"欠"</formula>
    </cfRule>
  </conditionalFormatting>
  <conditionalFormatting sqref="AC169">
    <cfRule type="cellIs" dxfId="0" priority="2913" operator="equal">
      <formula>"未完成"</formula>
    </cfRule>
  </conditionalFormatting>
  <conditionalFormatting sqref="AG169:AH169">
    <cfRule type="cellIs" dxfId="0" priority="2973" operator="equal">
      <formula>"未完成"</formula>
    </cfRule>
    <cfRule type="cellIs" dxfId="1" priority="2943" operator="equal">
      <formula>"未完成"</formula>
    </cfRule>
  </conditionalFormatting>
  <conditionalFormatting sqref="AI169">
    <cfRule type="cellIs" dxfId="0" priority="2643" operator="equal">
      <formula>"未完成"</formula>
    </cfRule>
    <cfRule type="cellIs" dxfId="1" priority="2613" operator="equal">
      <formula>"未完成"</formula>
    </cfRule>
  </conditionalFormatting>
  <conditionalFormatting sqref="AJ169">
    <cfRule type="cellIs" dxfId="0" priority="2763" operator="equal">
      <formula>"未完成"</formula>
    </cfRule>
    <cfRule type="cellIs" dxfId="1" priority="2733" operator="equal">
      <formula>"未完成"</formula>
    </cfRule>
  </conditionalFormatting>
  <conditionalFormatting sqref="AK169">
    <cfRule type="cellIs" dxfId="0" priority="2493" operator="equal">
      <formula>"未完成"</formula>
    </cfRule>
    <cfRule type="cellIs" dxfId="1" priority="2463" operator="equal">
      <formula>"未完成"</formula>
    </cfRule>
  </conditionalFormatting>
  <conditionalFormatting sqref="AN169">
    <cfRule type="cellIs" dxfId="0" priority="2433" operator="equal">
      <formula>"未完成"</formula>
    </cfRule>
    <cfRule type="cellIs" dxfId="1" priority="2403" operator="equal">
      <formula>"未完成"</formula>
    </cfRule>
  </conditionalFormatting>
  <conditionalFormatting sqref="AO169">
    <cfRule type="cellIs" dxfId="0" priority="2823" operator="equal">
      <formula>"未完成"</formula>
    </cfRule>
    <cfRule type="cellIs" dxfId="1" priority="2793" operator="equal">
      <formula>"未完成"</formula>
    </cfRule>
  </conditionalFormatting>
  <conditionalFormatting sqref="AR169">
    <cfRule type="cellIs" dxfId="0" priority="2703" operator="equal">
      <formula>"未完成"</formula>
    </cfRule>
    <cfRule type="cellIs" dxfId="1" priority="2673" operator="equal">
      <formula>"未完成"</formula>
    </cfRule>
  </conditionalFormatting>
  <conditionalFormatting sqref="AS169:AT169">
    <cfRule type="cellIs" dxfId="0" priority="2883" operator="equal">
      <formula>"未完成"</formula>
    </cfRule>
    <cfRule type="cellIs" dxfId="1" priority="2853" operator="equal">
      <formula>"未完成"</formula>
    </cfRule>
  </conditionalFormatting>
  <conditionalFormatting sqref="R170">
    <cfRule type="cellIs" dxfId="0" priority="2582" operator="equal">
      <formula>"欠"</formula>
    </cfRule>
  </conditionalFormatting>
  <conditionalFormatting sqref="T170">
    <cfRule type="cellIs" dxfId="0" priority="2372" operator="equal">
      <formula>"欠"</formula>
    </cfRule>
  </conditionalFormatting>
  <conditionalFormatting sqref="AC170">
    <cfRule type="cellIs" dxfId="0" priority="2912" operator="equal">
      <formula>"未完成"</formula>
    </cfRule>
  </conditionalFormatting>
  <conditionalFormatting sqref="AG170:AH170">
    <cfRule type="cellIs" dxfId="0" priority="2972" operator="equal">
      <formula>"未完成"</formula>
    </cfRule>
    <cfRule type="cellIs" dxfId="1" priority="2942" operator="equal">
      <formula>"未完成"</formula>
    </cfRule>
  </conditionalFormatting>
  <conditionalFormatting sqref="AI170">
    <cfRule type="cellIs" dxfId="0" priority="2642" operator="equal">
      <formula>"未完成"</formula>
    </cfRule>
    <cfRule type="cellIs" dxfId="1" priority="2612" operator="equal">
      <formula>"未完成"</formula>
    </cfRule>
  </conditionalFormatting>
  <conditionalFormatting sqref="AJ170">
    <cfRule type="cellIs" dxfId="0" priority="2762" operator="equal">
      <formula>"未完成"</formula>
    </cfRule>
    <cfRule type="cellIs" dxfId="1" priority="2732" operator="equal">
      <formula>"未完成"</formula>
    </cfRule>
  </conditionalFormatting>
  <conditionalFormatting sqref="AK170">
    <cfRule type="cellIs" dxfId="0" priority="2492" operator="equal">
      <formula>"未完成"</formula>
    </cfRule>
    <cfRule type="cellIs" dxfId="1" priority="2462" operator="equal">
      <formula>"未完成"</formula>
    </cfRule>
  </conditionalFormatting>
  <conditionalFormatting sqref="AN170">
    <cfRule type="cellIs" dxfId="0" priority="2432" operator="equal">
      <formula>"未完成"</formula>
    </cfRule>
    <cfRule type="cellIs" dxfId="1" priority="2402" operator="equal">
      <formula>"未完成"</formula>
    </cfRule>
  </conditionalFormatting>
  <conditionalFormatting sqref="AO170">
    <cfRule type="cellIs" dxfId="0" priority="2822" operator="equal">
      <formula>"未完成"</formula>
    </cfRule>
    <cfRule type="cellIs" dxfId="1" priority="2792" operator="equal">
      <formula>"未完成"</formula>
    </cfRule>
  </conditionalFormatting>
  <conditionalFormatting sqref="AQ170">
    <cfRule type="cellIs" dxfId="0" priority="2552" operator="equal">
      <formula>"未完成"</formula>
    </cfRule>
    <cfRule type="cellIs" dxfId="1" priority="2522" operator="equal">
      <formula>"未完成"</formula>
    </cfRule>
  </conditionalFormatting>
  <conditionalFormatting sqref="AR170">
    <cfRule type="cellIs" dxfId="0" priority="2702" operator="equal">
      <formula>"未完成"</formula>
    </cfRule>
    <cfRule type="cellIs" dxfId="1" priority="2672" operator="equal">
      <formula>"未完成"</formula>
    </cfRule>
  </conditionalFormatting>
  <conditionalFormatting sqref="AS170:AT170">
    <cfRule type="cellIs" dxfId="0" priority="2882" operator="equal">
      <formula>"未完成"</formula>
    </cfRule>
    <cfRule type="cellIs" dxfId="1" priority="2852" operator="equal">
      <formula>"未完成"</formula>
    </cfRule>
  </conditionalFormatting>
  <conditionalFormatting sqref="R171">
    <cfRule type="cellIs" dxfId="0" priority="2581" operator="equal">
      <formula>"欠"</formula>
    </cfRule>
  </conditionalFormatting>
  <conditionalFormatting sqref="T171">
    <cfRule type="cellIs" dxfId="0" priority="2371" operator="equal">
      <formula>"欠"</formula>
    </cfRule>
  </conditionalFormatting>
  <conditionalFormatting sqref="AC171">
    <cfRule type="cellIs" dxfId="0" priority="2911" operator="equal">
      <formula>"未完成"</formula>
    </cfRule>
  </conditionalFormatting>
  <conditionalFormatting sqref="AG171:AH171">
    <cfRule type="cellIs" dxfId="0" priority="2971" operator="equal">
      <formula>"未完成"</formula>
    </cfRule>
    <cfRule type="cellIs" dxfId="1" priority="2941" operator="equal">
      <formula>"未完成"</formula>
    </cfRule>
  </conditionalFormatting>
  <conditionalFormatting sqref="AI171">
    <cfRule type="cellIs" dxfId="0" priority="2641" operator="equal">
      <formula>"未完成"</formula>
    </cfRule>
    <cfRule type="cellIs" dxfId="1" priority="2611" operator="equal">
      <formula>"未完成"</formula>
    </cfRule>
  </conditionalFormatting>
  <conditionalFormatting sqref="AJ171">
    <cfRule type="cellIs" dxfId="0" priority="2761" operator="equal">
      <formula>"未完成"</formula>
    </cfRule>
    <cfRule type="cellIs" dxfId="1" priority="2731" operator="equal">
      <formula>"未完成"</formula>
    </cfRule>
  </conditionalFormatting>
  <conditionalFormatting sqref="AK171">
    <cfRule type="cellIs" dxfId="0" priority="2491" operator="equal">
      <formula>"未完成"</formula>
    </cfRule>
    <cfRule type="cellIs" dxfId="1" priority="2461" operator="equal">
      <formula>"未完成"</formula>
    </cfRule>
  </conditionalFormatting>
  <conditionalFormatting sqref="AN171">
    <cfRule type="cellIs" dxfId="0" priority="2431" operator="equal">
      <formula>"未完成"</formula>
    </cfRule>
    <cfRule type="cellIs" dxfId="1" priority="2401" operator="equal">
      <formula>"未完成"</formula>
    </cfRule>
  </conditionalFormatting>
  <conditionalFormatting sqref="AO171">
    <cfRule type="cellIs" dxfId="0" priority="2821" operator="equal">
      <formula>"未完成"</formula>
    </cfRule>
    <cfRule type="cellIs" dxfId="1" priority="2791" operator="equal">
      <formula>"未完成"</formula>
    </cfRule>
  </conditionalFormatting>
  <conditionalFormatting sqref="AQ171">
    <cfRule type="cellIs" dxfId="0" priority="2551" operator="equal">
      <formula>"未完成"</formula>
    </cfRule>
    <cfRule type="cellIs" dxfId="1" priority="2521" operator="equal">
      <formula>"未完成"</formula>
    </cfRule>
  </conditionalFormatting>
  <conditionalFormatting sqref="AR171">
    <cfRule type="cellIs" dxfId="0" priority="2701" operator="equal">
      <formula>"未完成"</formula>
    </cfRule>
    <cfRule type="cellIs" dxfId="1" priority="2671" operator="equal">
      <formula>"未完成"</formula>
    </cfRule>
  </conditionalFormatting>
  <conditionalFormatting sqref="AS171:AT171">
    <cfRule type="cellIs" dxfId="0" priority="2881" operator="equal">
      <formula>"未完成"</formula>
    </cfRule>
    <cfRule type="cellIs" dxfId="1" priority="2851" operator="equal">
      <formula>"未完成"</formula>
    </cfRule>
  </conditionalFormatting>
  <conditionalFormatting sqref="R172">
    <cfRule type="cellIs" dxfId="0" priority="2580" operator="equal">
      <formula>"欠"</formula>
    </cfRule>
  </conditionalFormatting>
  <conditionalFormatting sqref="T172">
    <cfRule type="cellIs" dxfId="0" priority="2370" operator="equal">
      <formula>"欠"</formula>
    </cfRule>
  </conditionalFormatting>
  <conditionalFormatting sqref="AC172">
    <cfRule type="cellIs" dxfId="0" priority="2910" operator="equal">
      <formula>"未完成"</formula>
    </cfRule>
  </conditionalFormatting>
  <conditionalFormatting sqref="AG172:AH172">
    <cfRule type="cellIs" dxfId="0" priority="2970" operator="equal">
      <formula>"未完成"</formula>
    </cfRule>
    <cfRule type="cellIs" dxfId="1" priority="2940" operator="equal">
      <formula>"未完成"</formula>
    </cfRule>
  </conditionalFormatting>
  <conditionalFormatting sqref="AI172">
    <cfRule type="cellIs" dxfId="0" priority="2640" operator="equal">
      <formula>"未完成"</formula>
    </cfRule>
    <cfRule type="cellIs" dxfId="1" priority="2610" operator="equal">
      <formula>"未完成"</formula>
    </cfRule>
  </conditionalFormatting>
  <conditionalFormatting sqref="AJ172">
    <cfRule type="cellIs" dxfId="0" priority="2760" operator="equal">
      <formula>"未完成"</formula>
    </cfRule>
    <cfRule type="cellIs" dxfId="1" priority="2730" operator="equal">
      <formula>"未完成"</formula>
    </cfRule>
  </conditionalFormatting>
  <conditionalFormatting sqref="AK172">
    <cfRule type="cellIs" dxfId="0" priority="2490" operator="equal">
      <formula>"未完成"</formula>
    </cfRule>
    <cfRule type="cellIs" dxfId="1" priority="2460" operator="equal">
      <formula>"未完成"</formula>
    </cfRule>
  </conditionalFormatting>
  <conditionalFormatting sqref="AN172">
    <cfRule type="cellIs" dxfId="0" priority="2430" operator="equal">
      <formula>"未完成"</formula>
    </cfRule>
    <cfRule type="cellIs" dxfId="1" priority="2400" operator="equal">
      <formula>"未完成"</formula>
    </cfRule>
  </conditionalFormatting>
  <conditionalFormatting sqref="AO172">
    <cfRule type="cellIs" dxfId="0" priority="2820" operator="equal">
      <formula>"未完成"</formula>
    </cfRule>
    <cfRule type="cellIs" dxfId="1" priority="2790" operator="equal">
      <formula>"未完成"</formula>
    </cfRule>
  </conditionalFormatting>
  <conditionalFormatting sqref="AQ172">
    <cfRule type="cellIs" dxfId="0" priority="2550" operator="equal">
      <formula>"未完成"</formula>
    </cfRule>
    <cfRule type="cellIs" dxfId="1" priority="2520" operator="equal">
      <formula>"未完成"</formula>
    </cfRule>
  </conditionalFormatting>
  <conditionalFormatting sqref="AR172">
    <cfRule type="cellIs" dxfId="0" priority="2700" operator="equal">
      <formula>"未完成"</formula>
    </cfRule>
    <cfRule type="cellIs" dxfId="1" priority="2670" operator="equal">
      <formula>"未完成"</formula>
    </cfRule>
  </conditionalFormatting>
  <conditionalFormatting sqref="AS172:AT172">
    <cfRule type="cellIs" dxfId="0" priority="2880" operator="equal">
      <formula>"未完成"</formula>
    </cfRule>
    <cfRule type="cellIs" dxfId="1" priority="2850" operator="equal">
      <formula>"未完成"</formula>
    </cfRule>
  </conditionalFormatting>
  <conditionalFormatting sqref="R173">
    <cfRule type="cellIs" dxfId="0" priority="2579" operator="equal">
      <formula>"欠"</formula>
    </cfRule>
  </conditionalFormatting>
  <conditionalFormatting sqref="T173">
    <cfRule type="cellIs" dxfId="0" priority="2369" operator="equal">
      <formula>"欠"</formula>
    </cfRule>
  </conditionalFormatting>
  <conditionalFormatting sqref="AC173">
    <cfRule type="cellIs" dxfId="0" priority="2909" operator="equal">
      <formula>"未完成"</formula>
    </cfRule>
  </conditionalFormatting>
  <conditionalFormatting sqref="AG173:AH173">
    <cfRule type="cellIs" dxfId="0" priority="2969" operator="equal">
      <formula>"未完成"</formula>
    </cfRule>
    <cfRule type="cellIs" dxfId="1" priority="2939" operator="equal">
      <formula>"未完成"</formula>
    </cfRule>
  </conditionalFormatting>
  <conditionalFormatting sqref="AI173">
    <cfRule type="cellIs" dxfId="0" priority="2639" operator="equal">
      <formula>"未完成"</formula>
    </cfRule>
    <cfRule type="cellIs" dxfId="1" priority="2609" operator="equal">
      <formula>"未完成"</formula>
    </cfRule>
  </conditionalFormatting>
  <conditionalFormatting sqref="AJ173">
    <cfRule type="cellIs" dxfId="0" priority="2759" operator="equal">
      <formula>"未完成"</formula>
    </cfRule>
    <cfRule type="cellIs" dxfId="1" priority="2729" operator="equal">
      <formula>"未完成"</formula>
    </cfRule>
  </conditionalFormatting>
  <conditionalFormatting sqref="AK173">
    <cfRule type="cellIs" dxfId="0" priority="2489" operator="equal">
      <formula>"未完成"</formula>
    </cfRule>
    <cfRule type="cellIs" dxfId="1" priority="2459" operator="equal">
      <formula>"未完成"</formula>
    </cfRule>
  </conditionalFormatting>
  <conditionalFormatting sqref="AN173">
    <cfRule type="cellIs" dxfId="0" priority="2429" operator="equal">
      <formula>"未完成"</formula>
    </cfRule>
    <cfRule type="cellIs" dxfId="1" priority="2399" operator="equal">
      <formula>"未完成"</formula>
    </cfRule>
  </conditionalFormatting>
  <conditionalFormatting sqref="AO173">
    <cfRule type="cellIs" dxfId="0" priority="2819" operator="equal">
      <formula>"未完成"</formula>
    </cfRule>
    <cfRule type="cellIs" dxfId="1" priority="2789" operator="equal">
      <formula>"未完成"</formula>
    </cfRule>
  </conditionalFormatting>
  <conditionalFormatting sqref="AQ173">
    <cfRule type="cellIs" dxfId="0" priority="2549" operator="equal">
      <formula>"未完成"</formula>
    </cfRule>
    <cfRule type="cellIs" dxfId="1" priority="2519" operator="equal">
      <formula>"未完成"</formula>
    </cfRule>
  </conditionalFormatting>
  <conditionalFormatting sqref="AR173">
    <cfRule type="cellIs" dxfId="0" priority="2699" operator="equal">
      <formula>"未完成"</formula>
    </cfRule>
    <cfRule type="cellIs" dxfId="1" priority="2669" operator="equal">
      <formula>"未完成"</formula>
    </cfRule>
  </conditionalFormatting>
  <conditionalFormatting sqref="AS173:AT173">
    <cfRule type="cellIs" dxfId="0" priority="2879" operator="equal">
      <formula>"未完成"</formula>
    </cfRule>
    <cfRule type="cellIs" dxfId="1" priority="2849" operator="equal">
      <formula>"未完成"</formula>
    </cfRule>
  </conditionalFormatting>
  <conditionalFormatting sqref="R174">
    <cfRule type="cellIs" dxfId="0" priority="2578" operator="equal">
      <formula>"欠"</formula>
    </cfRule>
  </conditionalFormatting>
  <conditionalFormatting sqref="T174">
    <cfRule type="cellIs" dxfId="0" priority="2368" operator="equal">
      <formula>"欠"</formula>
    </cfRule>
  </conditionalFormatting>
  <conditionalFormatting sqref="AC174">
    <cfRule type="cellIs" dxfId="0" priority="2908" operator="equal">
      <formula>"未完成"</formula>
    </cfRule>
  </conditionalFormatting>
  <conditionalFormatting sqref="AG174:AH174">
    <cfRule type="cellIs" dxfId="0" priority="2968" operator="equal">
      <formula>"未完成"</formula>
    </cfRule>
    <cfRule type="cellIs" dxfId="1" priority="2938" operator="equal">
      <formula>"未完成"</formula>
    </cfRule>
  </conditionalFormatting>
  <conditionalFormatting sqref="AI174">
    <cfRule type="cellIs" dxfId="0" priority="2638" operator="equal">
      <formula>"未完成"</formula>
    </cfRule>
    <cfRule type="cellIs" dxfId="1" priority="2608" operator="equal">
      <formula>"未完成"</formula>
    </cfRule>
  </conditionalFormatting>
  <conditionalFormatting sqref="AJ174">
    <cfRule type="cellIs" dxfId="0" priority="2758" operator="equal">
      <formula>"未完成"</formula>
    </cfRule>
    <cfRule type="cellIs" dxfId="1" priority="2728" operator="equal">
      <formula>"未完成"</formula>
    </cfRule>
  </conditionalFormatting>
  <conditionalFormatting sqref="AK174">
    <cfRule type="cellIs" dxfId="0" priority="2488" operator="equal">
      <formula>"未完成"</formula>
    </cfRule>
    <cfRule type="cellIs" dxfId="1" priority="2458" operator="equal">
      <formula>"未完成"</formula>
    </cfRule>
  </conditionalFormatting>
  <conditionalFormatting sqref="AN174">
    <cfRule type="cellIs" dxfId="0" priority="2428" operator="equal">
      <formula>"未完成"</formula>
    </cfRule>
    <cfRule type="cellIs" dxfId="1" priority="2398" operator="equal">
      <formula>"未完成"</formula>
    </cfRule>
  </conditionalFormatting>
  <conditionalFormatting sqref="AO174">
    <cfRule type="cellIs" dxfId="0" priority="2818" operator="equal">
      <formula>"未完成"</formula>
    </cfRule>
    <cfRule type="cellIs" dxfId="1" priority="2788" operator="equal">
      <formula>"未完成"</formula>
    </cfRule>
  </conditionalFormatting>
  <conditionalFormatting sqref="AQ174">
    <cfRule type="cellIs" dxfId="0" priority="2548" operator="equal">
      <formula>"未完成"</formula>
    </cfRule>
    <cfRule type="cellIs" dxfId="1" priority="2518" operator="equal">
      <formula>"未完成"</formula>
    </cfRule>
  </conditionalFormatting>
  <conditionalFormatting sqref="AR174">
    <cfRule type="cellIs" dxfId="0" priority="2698" operator="equal">
      <formula>"未完成"</formula>
    </cfRule>
    <cfRule type="cellIs" dxfId="1" priority="2668" operator="equal">
      <formula>"未完成"</formula>
    </cfRule>
  </conditionalFormatting>
  <conditionalFormatting sqref="AS174:AT174">
    <cfRule type="cellIs" dxfId="0" priority="2878" operator="equal">
      <formula>"未完成"</formula>
    </cfRule>
    <cfRule type="cellIs" dxfId="1" priority="2848" operator="equal">
      <formula>"未完成"</formula>
    </cfRule>
  </conditionalFormatting>
  <conditionalFormatting sqref="R175">
    <cfRule type="cellIs" dxfId="0" priority="2577" operator="equal">
      <formula>"欠"</formula>
    </cfRule>
  </conditionalFormatting>
  <conditionalFormatting sqref="T175">
    <cfRule type="cellIs" dxfId="0" priority="2367" operator="equal">
      <formula>"欠"</formula>
    </cfRule>
  </conditionalFormatting>
  <conditionalFormatting sqref="AC175">
    <cfRule type="cellIs" dxfId="0" priority="2907" operator="equal">
      <formula>"未完成"</formula>
    </cfRule>
  </conditionalFormatting>
  <conditionalFormatting sqref="AG175:AH175">
    <cfRule type="cellIs" dxfId="0" priority="2967" operator="equal">
      <formula>"未完成"</formula>
    </cfRule>
    <cfRule type="cellIs" dxfId="1" priority="2937" operator="equal">
      <formula>"未完成"</formula>
    </cfRule>
  </conditionalFormatting>
  <conditionalFormatting sqref="AI175">
    <cfRule type="cellIs" dxfId="0" priority="2637" operator="equal">
      <formula>"未完成"</formula>
    </cfRule>
    <cfRule type="cellIs" dxfId="1" priority="2607" operator="equal">
      <formula>"未完成"</formula>
    </cfRule>
  </conditionalFormatting>
  <conditionalFormatting sqref="AK175">
    <cfRule type="cellIs" dxfId="0" priority="2487" operator="equal">
      <formula>"未完成"</formula>
    </cfRule>
    <cfRule type="cellIs" dxfId="1" priority="2457" operator="equal">
      <formula>"未完成"</formula>
    </cfRule>
  </conditionalFormatting>
  <conditionalFormatting sqref="AN175">
    <cfRule type="cellIs" dxfId="0" priority="2427" operator="equal">
      <formula>"未完成"</formula>
    </cfRule>
    <cfRule type="cellIs" dxfId="1" priority="2397" operator="equal">
      <formula>"未完成"</formula>
    </cfRule>
  </conditionalFormatting>
  <conditionalFormatting sqref="AO175">
    <cfRule type="cellIs" dxfId="0" priority="2817" operator="equal">
      <formula>"未完成"</formula>
    </cfRule>
    <cfRule type="cellIs" dxfId="1" priority="2787" operator="equal">
      <formula>"未完成"</formula>
    </cfRule>
  </conditionalFormatting>
  <conditionalFormatting sqref="AQ175">
    <cfRule type="cellIs" dxfId="0" priority="2547" operator="equal">
      <formula>"未完成"</formula>
    </cfRule>
    <cfRule type="cellIs" dxfId="1" priority="2517" operator="equal">
      <formula>"未完成"</formula>
    </cfRule>
  </conditionalFormatting>
  <conditionalFormatting sqref="AR175">
    <cfRule type="cellIs" dxfId="0" priority="2697" operator="equal">
      <formula>"未完成"</formula>
    </cfRule>
    <cfRule type="cellIs" dxfId="1" priority="2667" operator="equal">
      <formula>"未完成"</formula>
    </cfRule>
  </conditionalFormatting>
  <conditionalFormatting sqref="AS175:AT175">
    <cfRule type="cellIs" dxfId="0" priority="2877" operator="equal">
      <formula>"未完成"</formula>
    </cfRule>
    <cfRule type="cellIs" dxfId="1" priority="2847" operator="equal">
      <formula>"未完成"</formula>
    </cfRule>
  </conditionalFormatting>
  <conditionalFormatting sqref="R176">
    <cfRule type="cellIs" dxfId="0" priority="2576" operator="equal">
      <formula>"欠"</formula>
    </cfRule>
  </conditionalFormatting>
  <conditionalFormatting sqref="T176">
    <cfRule type="cellIs" dxfId="0" priority="2366" operator="equal">
      <formula>"欠"</formula>
    </cfRule>
  </conditionalFormatting>
  <conditionalFormatting sqref="AC176">
    <cfRule type="cellIs" dxfId="0" priority="2906" operator="equal">
      <formula>"未完成"</formula>
    </cfRule>
  </conditionalFormatting>
  <conditionalFormatting sqref="AG176:AH176">
    <cfRule type="cellIs" dxfId="0" priority="2966" operator="equal">
      <formula>"未完成"</formula>
    </cfRule>
    <cfRule type="cellIs" dxfId="1" priority="2936" operator="equal">
      <formula>"未完成"</formula>
    </cfRule>
  </conditionalFormatting>
  <conditionalFormatting sqref="AI176">
    <cfRule type="cellIs" dxfId="0" priority="2636" operator="equal">
      <formula>"未完成"</formula>
    </cfRule>
    <cfRule type="cellIs" dxfId="1" priority="2606" operator="equal">
      <formula>"未完成"</formula>
    </cfRule>
  </conditionalFormatting>
  <conditionalFormatting sqref="AJ176">
    <cfRule type="cellIs" dxfId="0" priority="2756" operator="equal">
      <formula>"未完成"</formula>
    </cfRule>
    <cfRule type="cellIs" dxfId="1" priority="2726" operator="equal">
      <formula>"未完成"</formula>
    </cfRule>
  </conditionalFormatting>
  <conditionalFormatting sqref="AK176">
    <cfRule type="cellIs" dxfId="0" priority="2486" operator="equal">
      <formula>"未完成"</formula>
    </cfRule>
    <cfRule type="cellIs" dxfId="1" priority="2456" operator="equal">
      <formula>"未完成"</formula>
    </cfRule>
  </conditionalFormatting>
  <conditionalFormatting sqref="AN176">
    <cfRule type="cellIs" dxfId="0" priority="2426" operator="equal">
      <formula>"未完成"</formula>
    </cfRule>
    <cfRule type="cellIs" dxfId="1" priority="2396" operator="equal">
      <formula>"未完成"</formula>
    </cfRule>
  </conditionalFormatting>
  <conditionalFormatting sqref="AO176">
    <cfRule type="cellIs" dxfId="0" priority="2816" operator="equal">
      <formula>"未完成"</formula>
    </cfRule>
    <cfRule type="cellIs" dxfId="1" priority="2786" operator="equal">
      <formula>"未完成"</formula>
    </cfRule>
  </conditionalFormatting>
  <conditionalFormatting sqref="AQ176">
    <cfRule type="cellIs" dxfId="0" priority="2546" operator="equal">
      <formula>"未完成"</formula>
    </cfRule>
    <cfRule type="cellIs" dxfId="1" priority="2516" operator="equal">
      <formula>"未完成"</formula>
    </cfRule>
  </conditionalFormatting>
  <conditionalFormatting sqref="AR176">
    <cfRule type="cellIs" dxfId="0" priority="2696" operator="equal">
      <formula>"未完成"</formula>
    </cfRule>
    <cfRule type="cellIs" dxfId="1" priority="2666" operator="equal">
      <formula>"未完成"</formula>
    </cfRule>
  </conditionalFormatting>
  <conditionalFormatting sqref="AS176:AT176">
    <cfRule type="cellIs" dxfId="0" priority="2876" operator="equal">
      <formula>"未完成"</formula>
    </cfRule>
    <cfRule type="cellIs" dxfId="1" priority="2846" operator="equal">
      <formula>"未完成"</formula>
    </cfRule>
  </conditionalFormatting>
  <conditionalFormatting sqref="R177">
    <cfRule type="cellIs" dxfId="0" priority="2575" operator="equal">
      <formula>"欠"</formula>
    </cfRule>
  </conditionalFormatting>
  <conditionalFormatting sqref="T177">
    <cfRule type="cellIs" dxfId="0" priority="2365" operator="equal">
      <formula>"欠"</formula>
    </cfRule>
  </conditionalFormatting>
  <conditionalFormatting sqref="AC177">
    <cfRule type="cellIs" dxfId="0" priority="2905" operator="equal">
      <formula>"未完成"</formula>
    </cfRule>
  </conditionalFormatting>
  <conditionalFormatting sqref="AG177:AH177">
    <cfRule type="cellIs" dxfId="0" priority="2965" operator="equal">
      <formula>"未完成"</formula>
    </cfRule>
    <cfRule type="cellIs" dxfId="1" priority="2935" operator="equal">
      <formula>"未完成"</formula>
    </cfRule>
  </conditionalFormatting>
  <conditionalFormatting sqref="AI177">
    <cfRule type="cellIs" dxfId="0" priority="2635" operator="equal">
      <formula>"未完成"</formula>
    </cfRule>
    <cfRule type="cellIs" dxfId="1" priority="2605" operator="equal">
      <formula>"未完成"</formula>
    </cfRule>
  </conditionalFormatting>
  <conditionalFormatting sqref="AJ177">
    <cfRule type="cellIs" dxfId="0" priority="2755" operator="equal">
      <formula>"未完成"</formula>
    </cfRule>
    <cfRule type="cellIs" dxfId="1" priority="2725" operator="equal">
      <formula>"未完成"</formula>
    </cfRule>
  </conditionalFormatting>
  <conditionalFormatting sqref="AK177">
    <cfRule type="cellIs" dxfId="0" priority="2485" operator="equal">
      <formula>"未完成"</formula>
    </cfRule>
    <cfRule type="cellIs" dxfId="1" priority="2455" operator="equal">
      <formula>"未完成"</formula>
    </cfRule>
  </conditionalFormatting>
  <conditionalFormatting sqref="AN177">
    <cfRule type="cellIs" dxfId="0" priority="2425" operator="equal">
      <formula>"未完成"</formula>
    </cfRule>
    <cfRule type="cellIs" dxfId="1" priority="2395" operator="equal">
      <formula>"未完成"</formula>
    </cfRule>
  </conditionalFormatting>
  <conditionalFormatting sqref="AO177">
    <cfRule type="cellIs" dxfId="0" priority="2815" operator="equal">
      <formula>"未完成"</formula>
    </cfRule>
    <cfRule type="cellIs" dxfId="1" priority="2785" operator="equal">
      <formula>"未完成"</formula>
    </cfRule>
  </conditionalFormatting>
  <conditionalFormatting sqref="AQ177">
    <cfRule type="cellIs" dxfId="0" priority="2545" operator="equal">
      <formula>"未完成"</formula>
    </cfRule>
    <cfRule type="cellIs" dxfId="1" priority="2515" operator="equal">
      <formula>"未完成"</formula>
    </cfRule>
  </conditionalFormatting>
  <conditionalFormatting sqref="AR177">
    <cfRule type="cellIs" dxfId="0" priority="2695" operator="equal">
      <formula>"未完成"</formula>
    </cfRule>
    <cfRule type="cellIs" dxfId="1" priority="2665" operator="equal">
      <formula>"未完成"</formula>
    </cfRule>
  </conditionalFormatting>
  <conditionalFormatting sqref="AS177:AT177">
    <cfRule type="cellIs" dxfId="0" priority="2875" operator="equal">
      <formula>"未完成"</formula>
    </cfRule>
    <cfRule type="cellIs" dxfId="1" priority="2845" operator="equal">
      <formula>"未完成"</formula>
    </cfRule>
  </conditionalFormatting>
  <conditionalFormatting sqref="R178">
    <cfRule type="cellIs" dxfId="0" priority="2325" operator="equal">
      <formula>"欠"</formula>
    </cfRule>
  </conditionalFormatting>
  <conditionalFormatting sqref="T178">
    <cfRule type="cellIs" dxfId="0" priority="2304" operator="equal">
      <formula>"欠"</formula>
    </cfRule>
  </conditionalFormatting>
  <conditionalFormatting sqref="AC178">
    <cfRule type="cellIs" dxfId="0" priority="2358" operator="equal">
      <formula>"未完成"</formula>
    </cfRule>
  </conditionalFormatting>
  <conditionalFormatting sqref="AG178:AH178">
    <cfRule type="cellIs" dxfId="0" priority="2364" operator="equal">
      <formula>"未完成"</formula>
    </cfRule>
    <cfRule type="cellIs" dxfId="1" priority="2361" operator="equal">
      <formula>"未完成"</formula>
    </cfRule>
  </conditionalFormatting>
  <conditionalFormatting sqref="AI178">
    <cfRule type="cellIs" dxfId="0" priority="2331" operator="equal">
      <formula>"未完成"</formula>
    </cfRule>
    <cfRule type="cellIs" dxfId="1" priority="2328" operator="equal">
      <formula>"未完成"</formula>
    </cfRule>
  </conditionalFormatting>
  <conditionalFormatting sqref="AJ178">
    <cfRule type="cellIs" dxfId="0" priority="2343" operator="equal">
      <formula>"未完成"</formula>
    </cfRule>
    <cfRule type="cellIs" dxfId="1" priority="2340" operator="equal">
      <formula>"未完成"</formula>
    </cfRule>
  </conditionalFormatting>
  <conditionalFormatting sqref="AK178">
    <cfRule type="cellIs" dxfId="0" priority="2316" operator="equal">
      <formula>"未完成"</formula>
    </cfRule>
    <cfRule type="cellIs" dxfId="1" priority="2313" operator="equal">
      <formula>"未完成"</formula>
    </cfRule>
  </conditionalFormatting>
  <conditionalFormatting sqref="AN178">
    <cfRule type="cellIs" dxfId="0" priority="2310" operator="equal">
      <formula>"未完成"</formula>
    </cfRule>
    <cfRule type="cellIs" dxfId="1" priority="2307" operator="equal">
      <formula>"未完成"</formula>
    </cfRule>
  </conditionalFormatting>
  <conditionalFormatting sqref="AO178">
    <cfRule type="cellIs" dxfId="0" priority="2349" operator="equal">
      <formula>"未完成"</formula>
    </cfRule>
    <cfRule type="cellIs" dxfId="1" priority="2346" operator="equal">
      <formula>"未完成"</formula>
    </cfRule>
  </conditionalFormatting>
  <conditionalFormatting sqref="AQ178">
    <cfRule type="cellIs" dxfId="0" priority="2322" operator="equal">
      <formula>"未完成"</formula>
    </cfRule>
    <cfRule type="cellIs" dxfId="1" priority="2319" operator="equal">
      <formula>"未完成"</formula>
    </cfRule>
  </conditionalFormatting>
  <conditionalFormatting sqref="AR178">
    <cfRule type="cellIs" dxfId="0" priority="2337" operator="equal">
      <formula>"未完成"</formula>
    </cfRule>
    <cfRule type="cellIs" dxfId="1" priority="2334" operator="equal">
      <formula>"未完成"</formula>
    </cfRule>
  </conditionalFormatting>
  <conditionalFormatting sqref="AS178:AT178">
    <cfRule type="cellIs" dxfId="0" priority="2355" operator="equal">
      <formula>"未完成"</formula>
    </cfRule>
    <cfRule type="cellIs" dxfId="1" priority="2352" operator="equal">
      <formula>"未完成"</formula>
    </cfRule>
  </conditionalFormatting>
  <conditionalFormatting sqref="R179">
    <cfRule type="cellIs" dxfId="0" priority="2324" operator="equal">
      <formula>"欠"</formula>
    </cfRule>
  </conditionalFormatting>
  <conditionalFormatting sqref="T179">
    <cfRule type="cellIs" dxfId="0" priority="2303" operator="equal">
      <formula>"欠"</formula>
    </cfRule>
  </conditionalFormatting>
  <conditionalFormatting sqref="AC179">
    <cfRule type="cellIs" dxfId="0" priority="2357" operator="equal">
      <formula>"未完成"</formula>
    </cfRule>
  </conditionalFormatting>
  <conditionalFormatting sqref="AG179:AH179">
    <cfRule type="cellIs" dxfId="0" priority="2363" operator="equal">
      <formula>"未完成"</formula>
    </cfRule>
    <cfRule type="cellIs" dxfId="1" priority="2360" operator="equal">
      <formula>"未完成"</formula>
    </cfRule>
  </conditionalFormatting>
  <conditionalFormatting sqref="AI179">
    <cfRule type="cellIs" dxfId="0" priority="2330" operator="equal">
      <formula>"未完成"</formula>
    </cfRule>
    <cfRule type="cellIs" dxfId="1" priority="2327" operator="equal">
      <formula>"未完成"</formula>
    </cfRule>
  </conditionalFormatting>
  <conditionalFormatting sqref="AJ179">
    <cfRule type="cellIs" dxfId="0" priority="2342" operator="equal">
      <formula>"未完成"</formula>
    </cfRule>
    <cfRule type="cellIs" dxfId="1" priority="2339" operator="equal">
      <formula>"未完成"</formula>
    </cfRule>
  </conditionalFormatting>
  <conditionalFormatting sqref="AK179">
    <cfRule type="cellIs" dxfId="0" priority="2315" operator="equal">
      <formula>"未完成"</formula>
    </cfRule>
    <cfRule type="cellIs" dxfId="1" priority="2312" operator="equal">
      <formula>"未完成"</formula>
    </cfRule>
  </conditionalFormatting>
  <conditionalFormatting sqref="AN179">
    <cfRule type="cellIs" dxfId="0" priority="2309" operator="equal">
      <formula>"未完成"</formula>
    </cfRule>
    <cfRule type="cellIs" dxfId="1" priority="2306" operator="equal">
      <formula>"未完成"</formula>
    </cfRule>
  </conditionalFormatting>
  <conditionalFormatting sqref="AO179">
    <cfRule type="cellIs" dxfId="0" priority="2348" operator="equal">
      <formula>"未完成"</formula>
    </cfRule>
    <cfRule type="cellIs" dxfId="1" priority="2345" operator="equal">
      <formula>"未完成"</formula>
    </cfRule>
  </conditionalFormatting>
  <conditionalFormatting sqref="AR179">
    <cfRule type="cellIs" dxfId="0" priority="2336" operator="equal">
      <formula>"未完成"</formula>
    </cfRule>
    <cfRule type="cellIs" dxfId="1" priority="2333" operator="equal">
      <formula>"未完成"</formula>
    </cfRule>
  </conditionalFormatting>
  <conditionalFormatting sqref="AS179:AT179">
    <cfRule type="cellIs" dxfId="0" priority="2354" operator="equal">
      <formula>"未完成"</formula>
    </cfRule>
    <cfRule type="cellIs" dxfId="1" priority="2351" operator="equal">
      <formula>"未完成"</formula>
    </cfRule>
  </conditionalFormatting>
  <conditionalFormatting sqref="R180">
    <cfRule type="cellIs" dxfId="0" priority="2323" operator="equal">
      <formula>"欠"</formula>
    </cfRule>
  </conditionalFormatting>
  <conditionalFormatting sqref="T180">
    <cfRule type="cellIs" dxfId="0" priority="2302" operator="equal">
      <formula>"欠"</formula>
    </cfRule>
  </conditionalFormatting>
  <conditionalFormatting sqref="AC180">
    <cfRule type="cellIs" dxfId="0" priority="2356" operator="equal">
      <formula>"未完成"</formula>
    </cfRule>
  </conditionalFormatting>
  <conditionalFormatting sqref="AG180:AH180">
    <cfRule type="cellIs" dxfId="0" priority="2362" operator="equal">
      <formula>"未完成"</formula>
    </cfRule>
    <cfRule type="cellIs" dxfId="1" priority="2359" operator="equal">
      <formula>"未完成"</formula>
    </cfRule>
  </conditionalFormatting>
  <conditionalFormatting sqref="AI180">
    <cfRule type="cellIs" dxfId="0" priority="2329" operator="equal">
      <formula>"未完成"</formula>
    </cfRule>
    <cfRule type="cellIs" dxfId="1" priority="2326" operator="equal">
      <formula>"未完成"</formula>
    </cfRule>
  </conditionalFormatting>
  <conditionalFormatting sqref="AJ180">
    <cfRule type="cellIs" dxfId="0" priority="2341" operator="equal">
      <formula>"未完成"</formula>
    </cfRule>
    <cfRule type="cellIs" dxfId="1" priority="2338" operator="equal">
      <formula>"未完成"</formula>
    </cfRule>
  </conditionalFormatting>
  <conditionalFormatting sqref="AK180">
    <cfRule type="cellIs" dxfId="0" priority="2314" operator="equal">
      <formula>"未完成"</formula>
    </cfRule>
    <cfRule type="cellIs" dxfId="1" priority="2311" operator="equal">
      <formula>"未完成"</formula>
    </cfRule>
  </conditionalFormatting>
  <conditionalFormatting sqref="AN180">
    <cfRule type="cellIs" dxfId="0" priority="2308" operator="equal">
      <formula>"未完成"</formula>
    </cfRule>
    <cfRule type="cellIs" dxfId="1" priority="2305" operator="equal">
      <formula>"未完成"</formula>
    </cfRule>
  </conditionalFormatting>
  <conditionalFormatting sqref="AO180">
    <cfRule type="cellIs" dxfId="0" priority="2347" operator="equal">
      <formula>"未完成"</formula>
    </cfRule>
    <cfRule type="cellIs" dxfId="1" priority="2344" operator="equal">
      <formula>"未完成"</formula>
    </cfRule>
  </conditionalFormatting>
  <conditionalFormatting sqref="AQ180">
    <cfRule type="cellIs" dxfId="0" priority="2320" operator="equal">
      <formula>"未完成"</formula>
    </cfRule>
    <cfRule type="cellIs" dxfId="1" priority="2317" operator="equal">
      <formula>"未完成"</formula>
    </cfRule>
  </conditionalFormatting>
  <conditionalFormatting sqref="AR180">
    <cfRule type="cellIs" dxfId="0" priority="2335" operator="equal">
      <formula>"未完成"</formula>
    </cfRule>
    <cfRule type="cellIs" dxfId="1" priority="2332" operator="equal">
      <formula>"未完成"</formula>
    </cfRule>
  </conditionalFormatting>
  <conditionalFormatting sqref="AS180:AT180">
    <cfRule type="cellIs" dxfId="0" priority="2353" operator="equal">
      <formula>"未完成"</formula>
    </cfRule>
    <cfRule type="cellIs" dxfId="1" priority="2350" operator="equal">
      <formula>"未完成"</formula>
    </cfRule>
  </conditionalFormatting>
  <conditionalFormatting sqref="R181">
    <cfRule type="cellIs" dxfId="0" priority="1829" operator="equal">
      <formula>"欠"</formula>
    </cfRule>
  </conditionalFormatting>
  <conditionalFormatting sqref="T181">
    <cfRule type="cellIs" dxfId="0" priority="1759" operator="equal">
      <formula>"欠"</formula>
    </cfRule>
  </conditionalFormatting>
  <conditionalFormatting sqref="AC181">
    <cfRule type="cellIs" dxfId="0" priority="1939" operator="equal">
      <formula>"未完成"</formula>
    </cfRule>
  </conditionalFormatting>
  <conditionalFormatting sqref="AG181:AH181">
    <cfRule type="cellIs" dxfId="0" priority="1959" operator="equal">
      <formula>"未完成"</formula>
    </cfRule>
    <cfRule type="cellIs" dxfId="1" priority="1949" operator="equal">
      <formula>"未完成"</formula>
    </cfRule>
  </conditionalFormatting>
  <conditionalFormatting sqref="AI181">
    <cfRule type="cellIs" dxfId="0" priority="1849" operator="equal">
      <formula>"未完成"</formula>
    </cfRule>
    <cfRule type="cellIs" dxfId="1" priority="1839" operator="equal">
      <formula>"未完成"</formula>
    </cfRule>
  </conditionalFormatting>
  <conditionalFormatting sqref="AJ181">
    <cfRule type="cellIs" dxfId="0" priority="1889" operator="equal">
      <formula>"未完成"</formula>
    </cfRule>
    <cfRule type="cellIs" dxfId="1" priority="1879" operator="equal">
      <formula>"未完成"</formula>
    </cfRule>
  </conditionalFormatting>
  <conditionalFormatting sqref="AK181">
    <cfRule type="cellIs" dxfId="0" priority="1799" operator="equal">
      <formula>"未完成"</formula>
    </cfRule>
    <cfRule type="cellIs" dxfId="1" priority="1789" operator="equal">
      <formula>"未完成"</formula>
    </cfRule>
  </conditionalFormatting>
  <conditionalFormatting sqref="AN181">
    <cfRule type="cellIs" dxfId="0" priority="1779" operator="equal">
      <formula>"未完成"</formula>
    </cfRule>
    <cfRule type="cellIs" dxfId="1" priority="1769" operator="equal">
      <formula>"未完成"</formula>
    </cfRule>
  </conditionalFormatting>
  <conditionalFormatting sqref="AO181">
    <cfRule type="cellIs" dxfId="0" priority="1909" operator="equal">
      <formula>"未完成"</formula>
    </cfRule>
    <cfRule type="cellIs" dxfId="1" priority="1899" operator="equal">
      <formula>"未完成"</formula>
    </cfRule>
  </conditionalFormatting>
  <conditionalFormatting sqref="AQ181">
    <cfRule type="cellIs" dxfId="0" priority="1819" operator="equal">
      <formula>"未完成"</formula>
    </cfRule>
    <cfRule type="cellIs" dxfId="1" priority="1809" operator="equal">
      <formula>"未完成"</formula>
    </cfRule>
  </conditionalFormatting>
  <conditionalFormatting sqref="AR181">
    <cfRule type="cellIs" dxfId="0" priority="1869" operator="equal">
      <formula>"未完成"</formula>
    </cfRule>
    <cfRule type="cellIs" dxfId="1" priority="1859" operator="equal">
      <formula>"未完成"</formula>
    </cfRule>
  </conditionalFormatting>
  <conditionalFormatting sqref="AS181:AT181">
    <cfRule type="cellIs" dxfId="0" priority="1929" operator="equal">
      <formula>"未完成"</formula>
    </cfRule>
    <cfRule type="cellIs" dxfId="1" priority="1919" operator="equal">
      <formula>"未完成"</formula>
    </cfRule>
  </conditionalFormatting>
  <conditionalFormatting sqref="R182">
    <cfRule type="cellIs" dxfId="0" priority="1828" operator="equal">
      <formula>"欠"</formula>
    </cfRule>
  </conditionalFormatting>
  <conditionalFormatting sqref="T182">
    <cfRule type="cellIs" dxfId="0" priority="1758" operator="equal">
      <formula>"欠"</formula>
    </cfRule>
  </conditionalFormatting>
  <conditionalFormatting sqref="AC182">
    <cfRule type="cellIs" dxfId="0" priority="1938" operator="equal">
      <formula>"未完成"</formula>
    </cfRule>
  </conditionalFormatting>
  <conditionalFormatting sqref="AG182:AH182">
    <cfRule type="cellIs" dxfId="0" priority="1958" operator="equal">
      <formula>"未完成"</formula>
    </cfRule>
    <cfRule type="cellIs" dxfId="1" priority="1948" operator="equal">
      <formula>"未完成"</formula>
    </cfRule>
  </conditionalFormatting>
  <conditionalFormatting sqref="AI182">
    <cfRule type="cellIs" dxfId="0" priority="1848" operator="equal">
      <formula>"未完成"</formula>
    </cfRule>
    <cfRule type="cellIs" dxfId="1" priority="1838" operator="equal">
      <formula>"未完成"</formula>
    </cfRule>
  </conditionalFormatting>
  <conditionalFormatting sqref="AJ182">
    <cfRule type="cellIs" dxfId="0" priority="1888" operator="equal">
      <formula>"未完成"</formula>
    </cfRule>
    <cfRule type="cellIs" dxfId="1" priority="1878" operator="equal">
      <formula>"未完成"</formula>
    </cfRule>
  </conditionalFormatting>
  <conditionalFormatting sqref="AK182">
    <cfRule type="cellIs" dxfId="0" priority="1798" operator="equal">
      <formula>"未完成"</formula>
    </cfRule>
    <cfRule type="cellIs" dxfId="1" priority="1788" operator="equal">
      <formula>"未完成"</formula>
    </cfRule>
  </conditionalFormatting>
  <conditionalFormatting sqref="AN182">
    <cfRule type="cellIs" dxfId="0" priority="1778" operator="equal">
      <formula>"未完成"</formula>
    </cfRule>
    <cfRule type="cellIs" dxfId="1" priority="1768" operator="equal">
      <formula>"未完成"</formula>
    </cfRule>
  </conditionalFormatting>
  <conditionalFormatting sqref="AO182">
    <cfRule type="cellIs" dxfId="0" priority="1908" operator="equal">
      <formula>"未完成"</formula>
    </cfRule>
    <cfRule type="cellIs" dxfId="1" priority="1898" operator="equal">
      <formula>"未完成"</formula>
    </cfRule>
  </conditionalFormatting>
  <conditionalFormatting sqref="AQ182">
    <cfRule type="cellIs" dxfId="0" priority="1818" operator="equal">
      <formula>"未完成"</formula>
    </cfRule>
    <cfRule type="cellIs" dxfId="1" priority="1808" operator="equal">
      <formula>"未完成"</formula>
    </cfRule>
  </conditionalFormatting>
  <conditionalFormatting sqref="AR182">
    <cfRule type="cellIs" dxfId="0" priority="1868" operator="equal">
      <formula>"未完成"</formula>
    </cfRule>
    <cfRule type="cellIs" dxfId="1" priority="1858" operator="equal">
      <formula>"未完成"</formula>
    </cfRule>
  </conditionalFormatting>
  <conditionalFormatting sqref="AS182:AT182">
    <cfRule type="cellIs" dxfId="0" priority="1928" operator="equal">
      <formula>"未完成"</formula>
    </cfRule>
    <cfRule type="cellIs" dxfId="1" priority="1918" operator="equal">
      <formula>"未完成"</formula>
    </cfRule>
  </conditionalFormatting>
  <conditionalFormatting sqref="R183">
    <cfRule type="cellIs" dxfId="0" priority="1827" operator="equal">
      <formula>"欠"</formula>
    </cfRule>
  </conditionalFormatting>
  <conditionalFormatting sqref="T183">
    <cfRule type="cellIs" dxfId="0" priority="1757" operator="equal">
      <formula>"欠"</formula>
    </cfRule>
  </conditionalFormatting>
  <conditionalFormatting sqref="AC183">
    <cfRule type="cellIs" dxfId="0" priority="1937" operator="equal">
      <formula>"未完成"</formula>
    </cfRule>
  </conditionalFormatting>
  <conditionalFormatting sqref="AG183:AH183">
    <cfRule type="cellIs" dxfId="0" priority="1957" operator="equal">
      <formula>"未完成"</formula>
    </cfRule>
    <cfRule type="cellIs" dxfId="1" priority="1947" operator="equal">
      <formula>"未完成"</formula>
    </cfRule>
  </conditionalFormatting>
  <conditionalFormatting sqref="AI183">
    <cfRule type="cellIs" dxfId="0" priority="1847" operator="equal">
      <formula>"未完成"</formula>
    </cfRule>
    <cfRule type="cellIs" dxfId="1" priority="1837" operator="equal">
      <formula>"未完成"</formula>
    </cfRule>
  </conditionalFormatting>
  <conditionalFormatting sqref="AJ183">
    <cfRule type="cellIs" dxfId="0" priority="1887" operator="equal">
      <formula>"未完成"</formula>
    </cfRule>
    <cfRule type="cellIs" dxfId="1" priority="1877" operator="equal">
      <formula>"未完成"</formula>
    </cfRule>
  </conditionalFormatting>
  <conditionalFormatting sqref="AK183">
    <cfRule type="cellIs" dxfId="0" priority="1797" operator="equal">
      <formula>"未完成"</formula>
    </cfRule>
    <cfRule type="cellIs" dxfId="1" priority="1787" operator="equal">
      <formula>"未完成"</formula>
    </cfRule>
  </conditionalFormatting>
  <conditionalFormatting sqref="AN183">
    <cfRule type="cellIs" dxfId="0" priority="1777" operator="equal">
      <formula>"未完成"</formula>
    </cfRule>
    <cfRule type="cellIs" dxfId="1" priority="1767" operator="equal">
      <formula>"未完成"</formula>
    </cfRule>
  </conditionalFormatting>
  <conditionalFormatting sqref="AO183">
    <cfRule type="cellIs" dxfId="0" priority="1907" operator="equal">
      <formula>"未完成"</formula>
    </cfRule>
    <cfRule type="cellIs" dxfId="1" priority="1897" operator="equal">
      <formula>"未完成"</formula>
    </cfRule>
  </conditionalFormatting>
  <conditionalFormatting sqref="AQ183">
    <cfRule type="cellIs" dxfId="0" priority="1817" operator="equal">
      <formula>"未完成"</formula>
    </cfRule>
    <cfRule type="cellIs" dxfId="1" priority="1807" operator="equal">
      <formula>"未完成"</formula>
    </cfRule>
  </conditionalFormatting>
  <conditionalFormatting sqref="AR183">
    <cfRule type="cellIs" dxfId="0" priority="1867" operator="equal">
      <formula>"未完成"</formula>
    </cfRule>
    <cfRule type="cellIs" dxfId="1" priority="1857" operator="equal">
      <formula>"未完成"</formula>
    </cfRule>
  </conditionalFormatting>
  <conditionalFormatting sqref="AS183:AT183">
    <cfRule type="cellIs" dxfId="0" priority="1927" operator="equal">
      <formula>"未完成"</formula>
    </cfRule>
    <cfRule type="cellIs" dxfId="1" priority="1917" operator="equal">
      <formula>"未完成"</formula>
    </cfRule>
  </conditionalFormatting>
  <conditionalFormatting sqref="R184">
    <cfRule type="cellIs" dxfId="0" priority="1826" operator="equal">
      <formula>"欠"</formula>
    </cfRule>
  </conditionalFormatting>
  <conditionalFormatting sqref="T184">
    <cfRule type="cellIs" dxfId="0" priority="1756" operator="equal">
      <formula>"欠"</formula>
    </cfRule>
  </conditionalFormatting>
  <conditionalFormatting sqref="AC184">
    <cfRule type="cellIs" dxfId="0" priority="1936" operator="equal">
      <formula>"未完成"</formula>
    </cfRule>
  </conditionalFormatting>
  <conditionalFormatting sqref="AG184:AH184">
    <cfRule type="cellIs" dxfId="0" priority="1956" operator="equal">
      <formula>"未完成"</formula>
    </cfRule>
    <cfRule type="cellIs" dxfId="1" priority="1946" operator="equal">
      <formula>"未完成"</formula>
    </cfRule>
  </conditionalFormatting>
  <conditionalFormatting sqref="AI184">
    <cfRule type="cellIs" dxfId="0" priority="1846" operator="equal">
      <formula>"未完成"</formula>
    </cfRule>
    <cfRule type="cellIs" dxfId="1" priority="1836" operator="equal">
      <formula>"未完成"</formula>
    </cfRule>
  </conditionalFormatting>
  <conditionalFormatting sqref="AJ184">
    <cfRule type="cellIs" dxfId="0" priority="1886" operator="equal">
      <formula>"未完成"</formula>
    </cfRule>
    <cfRule type="cellIs" dxfId="1" priority="1876" operator="equal">
      <formula>"未完成"</formula>
    </cfRule>
  </conditionalFormatting>
  <conditionalFormatting sqref="AK184">
    <cfRule type="cellIs" dxfId="0" priority="1796" operator="equal">
      <formula>"未完成"</formula>
    </cfRule>
    <cfRule type="cellIs" dxfId="1" priority="1786" operator="equal">
      <formula>"未完成"</formula>
    </cfRule>
  </conditionalFormatting>
  <conditionalFormatting sqref="AN184">
    <cfRule type="cellIs" dxfId="0" priority="1776" operator="equal">
      <formula>"未完成"</formula>
    </cfRule>
    <cfRule type="cellIs" dxfId="1" priority="1766" operator="equal">
      <formula>"未完成"</formula>
    </cfRule>
  </conditionalFormatting>
  <conditionalFormatting sqref="AO184">
    <cfRule type="cellIs" dxfId="0" priority="1906" operator="equal">
      <formula>"未完成"</formula>
    </cfRule>
    <cfRule type="cellIs" dxfId="1" priority="1896" operator="equal">
      <formula>"未完成"</formula>
    </cfRule>
  </conditionalFormatting>
  <conditionalFormatting sqref="AQ184">
    <cfRule type="cellIs" dxfId="0" priority="1816" operator="equal">
      <formula>"未完成"</formula>
    </cfRule>
    <cfRule type="cellIs" dxfId="1" priority="1806" operator="equal">
      <formula>"未完成"</formula>
    </cfRule>
  </conditionalFormatting>
  <conditionalFormatting sqref="AR184">
    <cfRule type="cellIs" dxfId="0" priority="1866" operator="equal">
      <formula>"未完成"</formula>
    </cfRule>
    <cfRule type="cellIs" dxfId="1" priority="1856" operator="equal">
      <formula>"未完成"</formula>
    </cfRule>
  </conditionalFormatting>
  <conditionalFormatting sqref="AS184:AT184">
    <cfRule type="cellIs" dxfId="0" priority="1926" operator="equal">
      <formula>"未完成"</formula>
    </cfRule>
    <cfRule type="cellIs" dxfId="1" priority="1916" operator="equal">
      <formula>"未完成"</formula>
    </cfRule>
  </conditionalFormatting>
  <conditionalFormatting sqref="R185">
    <cfRule type="cellIs" dxfId="0" priority="1825" operator="equal">
      <formula>"欠"</formula>
    </cfRule>
  </conditionalFormatting>
  <conditionalFormatting sqref="T185">
    <cfRule type="cellIs" dxfId="0" priority="1755" operator="equal">
      <formula>"欠"</formula>
    </cfRule>
  </conditionalFormatting>
  <conditionalFormatting sqref="AC185">
    <cfRule type="cellIs" dxfId="0" priority="1935" operator="equal">
      <formula>"未完成"</formula>
    </cfRule>
  </conditionalFormatting>
  <conditionalFormatting sqref="AG185:AH185">
    <cfRule type="cellIs" dxfId="0" priority="1955" operator="equal">
      <formula>"未完成"</formula>
    </cfRule>
    <cfRule type="cellIs" dxfId="1" priority="1945" operator="equal">
      <formula>"未完成"</formula>
    </cfRule>
  </conditionalFormatting>
  <conditionalFormatting sqref="AI185">
    <cfRule type="cellIs" dxfId="0" priority="1845" operator="equal">
      <formula>"未完成"</formula>
    </cfRule>
    <cfRule type="cellIs" dxfId="1" priority="1835" operator="equal">
      <formula>"未完成"</formula>
    </cfRule>
  </conditionalFormatting>
  <conditionalFormatting sqref="AJ185">
    <cfRule type="cellIs" dxfId="0" priority="1885" operator="equal">
      <formula>"未完成"</formula>
    </cfRule>
    <cfRule type="cellIs" dxfId="1" priority="1875" operator="equal">
      <formula>"未完成"</formula>
    </cfRule>
  </conditionalFormatting>
  <conditionalFormatting sqref="AK185">
    <cfRule type="cellIs" dxfId="0" priority="1795" operator="equal">
      <formula>"未完成"</formula>
    </cfRule>
    <cfRule type="cellIs" dxfId="1" priority="1785" operator="equal">
      <formula>"未完成"</formula>
    </cfRule>
  </conditionalFormatting>
  <conditionalFormatting sqref="AN185">
    <cfRule type="cellIs" dxfId="0" priority="1775" operator="equal">
      <formula>"未完成"</formula>
    </cfRule>
    <cfRule type="cellIs" dxfId="1" priority="1765" operator="equal">
      <formula>"未完成"</formula>
    </cfRule>
  </conditionalFormatting>
  <conditionalFormatting sqref="AO185">
    <cfRule type="cellIs" dxfId="0" priority="1905" operator="equal">
      <formula>"未完成"</formula>
    </cfRule>
    <cfRule type="cellIs" dxfId="1" priority="1895" operator="equal">
      <formula>"未完成"</formula>
    </cfRule>
  </conditionalFormatting>
  <conditionalFormatting sqref="AQ185">
    <cfRule type="cellIs" dxfId="0" priority="1815" operator="equal">
      <formula>"未完成"</formula>
    </cfRule>
    <cfRule type="cellIs" dxfId="1" priority="1805" operator="equal">
      <formula>"未完成"</formula>
    </cfRule>
  </conditionalFormatting>
  <conditionalFormatting sqref="AR185">
    <cfRule type="cellIs" dxfId="0" priority="1865" operator="equal">
      <formula>"未完成"</formula>
    </cfRule>
    <cfRule type="cellIs" dxfId="1" priority="1855" operator="equal">
      <formula>"未完成"</formula>
    </cfRule>
  </conditionalFormatting>
  <conditionalFormatting sqref="AS185:AT185">
    <cfRule type="cellIs" dxfId="0" priority="1925" operator="equal">
      <formula>"未完成"</formula>
    </cfRule>
    <cfRule type="cellIs" dxfId="1" priority="1915" operator="equal">
      <formula>"未完成"</formula>
    </cfRule>
  </conditionalFormatting>
  <conditionalFormatting sqref="R186">
    <cfRule type="cellIs" dxfId="0" priority="1824" operator="equal">
      <formula>"欠"</formula>
    </cfRule>
  </conditionalFormatting>
  <conditionalFormatting sqref="T186">
    <cfRule type="cellIs" dxfId="0" priority="1754" operator="equal">
      <formula>"欠"</formula>
    </cfRule>
  </conditionalFormatting>
  <conditionalFormatting sqref="AC186">
    <cfRule type="cellIs" dxfId="0" priority="1934" operator="equal">
      <formula>"未完成"</formula>
    </cfRule>
  </conditionalFormatting>
  <conditionalFormatting sqref="AG186:AH186">
    <cfRule type="cellIs" dxfId="0" priority="1954" operator="equal">
      <formula>"未完成"</formula>
    </cfRule>
    <cfRule type="cellIs" dxfId="1" priority="1944" operator="equal">
      <formula>"未完成"</formula>
    </cfRule>
  </conditionalFormatting>
  <conditionalFormatting sqref="AI186">
    <cfRule type="cellIs" dxfId="0" priority="1844" operator="equal">
      <formula>"未完成"</formula>
    </cfRule>
    <cfRule type="cellIs" dxfId="1" priority="1834" operator="equal">
      <formula>"未完成"</formula>
    </cfRule>
  </conditionalFormatting>
  <conditionalFormatting sqref="AJ186">
    <cfRule type="cellIs" dxfId="0" priority="1884" operator="equal">
      <formula>"未完成"</formula>
    </cfRule>
    <cfRule type="cellIs" dxfId="1" priority="1874" operator="equal">
      <formula>"未完成"</formula>
    </cfRule>
  </conditionalFormatting>
  <conditionalFormatting sqref="AK186">
    <cfRule type="cellIs" dxfId="0" priority="1794" operator="equal">
      <formula>"未完成"</formula>
    </cfRule>
    <cfRule type="cellIs" dxfId="1" priority="1784" operator="equal">
      <formula>"未完成"</formula>
    </cfRule>
  </conditionalFormatting>
  <conditionalFormatting sqref="AN186">
    <cfRule type="cellIs" dxfId="0" priority="1774" operator="equal">
      <formula>"未完成"</formula>
    </cfRule>
    <cfRule type="cellIs" dxfId="1" priority="1764" operator="equal">
      <formula>"未完成"</formula>
    </cfRule>
  </conditionalFormatting>
  <conditionalFormatting sqref="AO186">
    <cfRule type="cellIs" dxfId="0" priority="1904" operator="equal">
      <formula>"未完成"</formula>
    </cfRule>
    <cfRule type="cellIs" dxfId="1" priority="1894" operator="equal">
      <formula>"未完成"</formula>
    </cfRule>
  </conditionalFormatting>
  <conditionalFormatting sqref="AQ186">
    <cfRule type="cellIs" dxfId="0" priority="1814" operator="equal">
      <formula>"未完成"</formula>
    </cfRule>
    <cfRule type="cellIs" dxfId="1" priority="1804" operator="equal">
      <formula>"未完成"</formula>
    </cfRule>
  </conditionalFormatting>
  <conditionalFormatting sqref="AR186">
    <cfRule type="cellIs" dxfId="0" priority="1864" operator="equal">
      <formula>"未完成"</formula>
    </cfRule>
    <cfRule type="cellIs" dxfId="1" priority="1854" operator="equal">
      <formula>"未完成"</formula>
    </cfRule>
  </conditionalFormatting>
  <conditionalFormatting sqref="AS186:AT186">
    <cfRule type="cellIs" dxfId="0" priority="1924" operator="equal">
      <formula>"未完成"</formula>
    </cfRule>
    <cfRule type="cellIs" dxfId="1" priority="1914" operator="equal">
      <formula>"未完成"</formula>
    </cfRule>
  </conditionalFormatting>
  <conditionalFormatting sqref="R187">
    <cfRule type="cellIs" dxfId="0" priority="1823" operator="equal">
      <formula>"欠"</formula>
    </cfRule>
  </conditionalFormatting>
  <conditionalFormatting sqref="T187">
    <cfRule type="cellIs" dxfId="0" priority="1753" operator="equal">
      <formula>"欠"</formula>
    </cfRule>
  </conditionalFormatting>
  <conditionalFormatting sqref="AC187">
    <cfRule type="cellIs" dxfId="0" priority="1933" operator="equal">
      <formula>"未完成"</formula>
    </cfRule>
  </conditionalFormatting>
  <conditionalFormatting sqref="AG187:AH187">
    <cfRule type="cellIs" dxfId="0" priority="1953" operator="equal">
      <formula>"未完成"</formula>
    </cfRule>
    <cfRule type="cellIs" dxfId="1" priority="1943" operator="equal">
      <formula>"未完成"</formula>
    </cfRule>
  </conditionalFormatting>
  <conditionalFormatting sqref="AI187">
    <cfRule type="cellIs" dxfId="0" priority="1843" operator="equal">
      <formula>"未完成"</formula>
    </cfRule>
    <cfRule type="cellIs" dxfId="1" priority="1833" operator="equal">
      <formula>"未完成"</formula>
    </cfRule>
  </conditionalFormatting>
  <conditionalFormatting sqref="AJ187">
    <cfRule type="cellIs" dxfId="0" priority="1883" operator="equal">
      <formula>"未完成"</formula>
    </cfRule>
    <cfRule type="cellIs" dxfId="1" priority="1873" operator="equal">
      <formula>"未完成"</formula>
    </cfRule>
  </conditionalFormatting>
  <conditionalFormatting sqref="AK187">
    <cfRule type="cellIs" dxfId="0" priority="1793" operator="equal">
      <formula>"未完成"</formula>
    </cfRule>
    <cfRule type="cellIs" dxfId="1" priority="1783" operator="equal">
      <formula>"未完成"</formula>
    </cfRule>
  </conditionalFormatting>
  <conditionalFormatting sqref="AN187">
    <cfRule type="cellIs" dxfId="0" priority="1773" operator="equal">
      <formula>"未完成"</formula>
    </cfRule>
    <cfRule type="cellIs" dxfId="1" priority="1763" operator="equal">
      <formula>"未完成"</formula>
    </cfRule>
  </conditionalFormatting>
  <conditionalFormatting sqref="AO187">
    <cfRule type="cellIs" dxfId="0" priority="1903" operator="equal">
      <formula>"未完成"</formula>
    </cfRule>
    <cfRule type="cellIs" dxfId="1" priority="1893" operator="equal">
      <formula>"未完成"</formula>
    </cfRule>
  </conditionalFormatting>
  <conditionalFormatting sqref="AQ187">
    <cfRule type="cellIs" dxfId="0" priority="1813" operator="equal">
      <formula>"未完成"</formula>
    </cfRule>
    <cfRule type="cellIs" dxfId="1" priority="1803" operator="equal">
      <formula>"未完成"</formula>
    </cfRule>
  </conditionalFormatting>
  <conditionalFormatting sqref="AR187">
    <cfRule type="cellIs" dxfId="0" priority="1863" operator="equal">
      <formula>"未完成"</formula>
    </cfRule>
    <cfRule type="cellIs" dxfId="1" priority="1853" operator="equal">
      <formula>"未完成"</formula>
    </cfRule>
  </conditionalFormatting>
  <conditionalFormatting sqref="AS187:AT187">
    <cfRule type="cellIs" dxfId="0" priority="1923" operator="equal">
      <formula>"未完成"</formula>
    </cfRule>
    <cfRule type="cellIs" dxfId="1" priority="1913" operator="equal">
      <formula>"未完成"</formula>
    </cfRule>
  </conditionalFormatting>
  <conditionalFormatting sqref="R188">
    <cfRule type="cellIs" dxfId="0" priority="1822" operator="equal">
      <formula>"欠"</formula>
    </cfRule>
  </conditionalFormatting>
  <conditionalFormatting sqref="T188">
    <cfRule type="cellIs" dxfId="0" priority="1752" operator="equal">
      <formula>"欠"</formula>
    </cfRule>
  </conditionalFormatting>
  <conditionalFormatting sqref="AC188">
    <cfRule type="cellIs" dxfId="0" priority="1932" operator="equal">
      <formula>"未完成"</formula>
    </cfRule>
  </conditionalFormatting>
  <conditionalFormatting sqref="AG188:AH188">
    <cfRule type="cellIs" dxfId="0" priority="1952" operator="equal">
      <formula>"未完成"</formula>
    </cfRule>
    <cfRule type="cellIs" dxfId="1" priority="1942" operator="equal">
      <formula>"未完成"</formula>
    </cfRule>
  </conditionalFormatting>
  <conditionalFormatting sqref="AI188">
    <cfRule type="cellIs" dxfId="0" priority="1842" operator="equal">
      <formula>"未完成"</formula>
    </cfRule>
    <cfRule type="cellIs" dxfId="1" priority="1832" operator="equal">
      <formula>"未完成"</formula>
    </cfRule>
  </conditionalFormatting>
  <conditionalFormatting sqref="AJ188">
    <cfRule type="cellIs" dxfId="0" priority="1882" operator="equal">
      <formula>"未完成"</formula>
    </cfRule>
    <cfRule type="cellIs" dxfId="1" priority="1872" operator="equal">
      <formula>"未完成"</formula>
    </cfRule>
  </conditionalFormatting>
  <conditionalFormatting sqref="AK188">
    <cfRule type="cellIs" dxfId="0" priority="1792" operator="equal">
      <formula>"未完成"</formula>
    </cfRule>
    <cfRule type="cellIs" dxfId="1" priority="1782" operator="equal">
      <formula>"未完成"</formula>
    </cfRule>
  </conditionalFormatting>
  <conditionalFormatting sqref="AN188">
    <cfRule type="cellIs" dxfId="0" priority="1772" operator="equal">
      <formula>"未完成"</formula>
    </cfRule>
    <cfRule type="cellIs" dxfId="1" priority="1762" operator="equal">
      <formula>"未完成"</formula>
    </cfRule>
  </conditionalFormatting>
  <conditionalFormatting sqref="AO188">
    <cfRule type="cellIs" dxfId="0" priority="1902" operator="equal">
      <formula>"未完成"</formula>
    </cfRule>
    <cfRule type="cellIs" dxfId="1" priority="1892" operator="equal">
      <formula>"未完成"</formula>
    </cfRule>
  </conditionalFormatting>
  <conditionalFormatting sqref="AQ188">
    <cfRule type="cellIs" dxfId="0" priority="1812" operator="equal">
      <formula>"未完成"</formula>
    </cfRule>
    <cfRule type="cellIs" dxfId="1" priority="1802" operator="equal">
      <formula>"未完成"</formula>
    </cfRule>
  </conditionalFormatting>
  <conditionalFormatting sqref="AR188">
    <cfRule type="cellIs" dxfId="0" priority="1862" operator="equal">
      <formula>"未完成"</formula>
    </cfRule>
    <cfRule type="cellIs" dxfId="1" priority="1852" operator="equal">
      <formula>"未完成"</formula>
    </cfRule>
  </conditionalFormatting>
  <conditionalFormatting sqref="AS188:AT188">
    <cfRule type="cellIs" dxfId="0" priority="1922" operator="equal">
      <formula>"未完成"</formula>
    </cfRule>
    <cfRule type="cellIs" dxfId="1" priority="1912" operator="equal">
      <formula>"未完成"</formula>
    </cfRule>
  </conditionalFormatting>
  <conditionalFormatting sqref="R189">
    <cfRule type="cellIs" dxfId="0" priority="1821" operator="equal">
      <formula>"欠"</formula>
    </cfRule>
  </conditionalFormatting>
  <conditionalFormatting sqref="T189">
    <cfRule type="cellIs" dxfId="0" priority="1751" operator="equal">
      <formula>"欠"</formula>
    </cfRule>
  </conditionalFormatting>
  <conditionalFormatting sqref="AC189">
    <cfRule type="cellIs" dxfId="0" priority="1931" operator="equal">
      <formula>"未完成"</formula>
    </cfRule>
  </conditionalFormatting>
  <conditionalFormatting sqref="AG189:AH189">
    <cfRule type="cellIs" dxfId="0" priority="1951" operator="equal">
      <formula>"未完成"</formula>
    </cfRule>
    <cfRule type="cellIs" dxfId="1" priority="1941" operator="equal">
      <formula>"未完成"</formula>
    </cfRule>
  </conditionalFormatting>
  <conditionalFormatting sqref="AI189">
    <cfRule type="cellIs" dxfId="0" priority="1841" operator="equal">
      <formula>"未完成"</formula>
    </cfRule>
    <cfRule type="cellIs" dxfId="1" priority="1831" operator="equal">
      <formula>"未完成"</formula>
    </cfRule>
  </conditionalFormatting>
  <conditionalFormatting sqref="AJ189">
    <cfRule type="cellIs" dxfId="0" priority="1881" operator="equal">
      <formula>"未完成"</formula>
    </cfRule>
    <cfRule type="cellIs" dxfId="1" priority="1871" operator="equal">
      <formula>"未完成"</formula>
    </cfRule>
  </conditionalFormatting>
  <conditionalFormatting sqref="AK189">
    <cfRule type="cellIs" dxfId="0" priority="1791" operator="equal">
      <formula>"未完成"</formula>
    </cfRule>
    <cfRule type="cellIs" dxfId="1" priority="1781" operator="equal">
      <formula>"未完成"</formula>
    </cfRule>
  </conditionalFormatting>
  <conditionalFormatting sqref="AN189">
    <cfRule type="cellIs" dxfId="0" priority="1771" operator="equal">
      <formula>"未完成"</formula>
    </cfRule>
    <cfRule type="cellIs" dxfId="1" priority="1761" operator="equal">
      <formula>"未完成"</formula>
    </cfRule>
  </conditionalFormatting>
  <conditionalFormatting sqref="AO189">
    <cfRule type="cellIs" dxfId="0" priority="1901" operator="equal">
      <formula>"未完成"</formula>
    </cfRule>
    <cfRule type="cellIs" dxfId="1" priority="1891" operator="equal">
      <formula>"未完成"</formula>
    </cfRule>
  </conditionalFormatting>
  <conditionalFormatting sqref="AQ189">
    <cfRule type="cellIs" dxfId="0" priority="1811" operator="equal">
      <formula>"未完成"</formula>
    </cfRule>
    <cfRule type="cellIs" dxfId="1" priority="1801" operator="equal">
      <formula>"未完成"</formula>
    </cfRule>
  </conditionalFormatting>
  <conditionalFormatting sqref="AR189">
    <cfRule type="cellIs" dxfId="0" priority="1861" operator="equal">
      <formula>"未完成"</formula>
    </cfRule>
    <cfRule type="cellIs" dxfId="1" priority="1851" operator="equal">
      <formula>"未完成"</formula>
    </cfRule>
  </conditionalFormatting>
  <conditionalFormatting sqref="AS189:AT189">
    <cfRule type="cellIs" dxfId="0" priority="1921" operator="equal">
      <formula>"未完成"</formula>
    </cfRule>
    <cfRule type="cellIs" dxfId="1" priority="1911" operator="equal">
      <formula>"未完成"</formula>
    </cfRule>
  </conditionalFormatting>
  <conditionalFormatting sqref="R190">
    <cfRule type="cellIs" dxfId="0" priority="1820" operator="equal">
      <formula>"欠"</formula>
    </cfRule>
  </conditionalFormatting>
  <conditionalFormatting sqref="T190">
    <cfRule type="cellIs" dxfId="0" priority="1750" operator="equal">
      <formula>"欠"</formula>
    </cfRule>
  </conditionalFormatting>
  <conditionalFormatting sqref="AC190">
    <cfRule type="cellIs" dxfId="0" priority="1930" operator="equal">
      <formula>"未完成"</formula>
    </cfRule>
  </conditionalFormatting>
  <conditionalFormatting sqref="AG190:AH190">
    <cfRule type="cellIs" dxfId="0" priority="1950" operator="equal">
      <formula>"未完成"</formula>
    </cfRule>
    <cfRule type="cellIs" dxfId="1" priority="1940" operator="equal">
      <formula>"未完成"</formula>
    </cfRule>
  </conditionalFormatting>
  <conditionalFormatting sqref="AI190">
    <cfRule type="cellIs" dxfId="0" priority="1840" operator="equal">
      <formula>"未完成"</formula>
    </cfRule>
    <cfRule type="cellIs" dxfId="1" priority="1830" operator="equal">
      <formula>"未完成"</formula>
    </cfRule>
  </conditionalFormatting>
  <conditionalFormatting sqref="AJ190">
    <cfRule type="cellIs" dxfId="0" priority="1880" operator="equal">
      <formula>"未完成"</formula>
    </cfRule>
    <cfRule type="cellIs" dxfId="1" priority="1870" operator="equal">
      <formula>"未完成"</formula>
    </cfRule>
  </conditionalFormatting>
  <conditionalFormatting sqref="AK190">
    <cfRule type="cellIs" dxfId="0" priority="1790" operator="equal">
      <formula>"未完成"</formula>
    </cfRule>
    <cfRule type="cellIs" dxfId="1" priority="1780" operator="equal">
      <formula>"未完成"</formula>
    </cfRule>
  </conditionalFormatting>
  <conditionalFormatting sqref="AN190">
    <cfRule type="cellIs" dxfId="0" priority="1770" operator="equal">
      <formula>"未完成"</formula>
    </cfRule>
    <cfRule type="cellIs" dxfId="1" priority="1760" operator="equal">
      <formula>"未完成"</formula>
    </cfRule>
  </conditionalFormatting>
  <conditionalFormatting sqref="AO190">
    <cfRule type="cellIs" dxfId="0" priority="1900" operator="equal">
      <formula>"未完成"</formula>
    </cfRule>
    <cfRule type="cellIs" dxfId="1" priority="1890" operator="equal">
      <formula>"未完成"</formula>
    </cfRule>
  </conditionalFormatting>
  <conditionalFormatting sqref="AQ190">
    <cfRule type="cellIs" dxfId="0" priority="1810" operator="equal">
      <formula>"未完成"</formula>
    </cfRule>
    <cfRule type="cellIs" dxfId="1" priority="1800" operator="equal">
      <formula>"未完成"</formula>
    </cfRule>
  </conditionalFormatting>
  <conditionalFormatting sqref="AR190">
    <cfRule type="cellIs" dxfId="0" priority="1860" operator="equal">
      <formula>"未完成"</formula>
    </cfRule>
    <cfRule type="cellIs" dxfId="1" priority="1850" operator="equal">
      <formula>"未完成"</formula>
    </cfRule>
  </conditionalFormatting>
  <conditionalFormatting sqref="AS190:AT190">
    <cfRule type="cellIs" dxfId="0" priority="1920" operator="equal">
      <formula>"未完成"</formula>
    </cfRule>
    <cfRule type="cellIs" dxfId="1" priority="1910" operator="equal">
      <formula>"未完成"</formula>
    </cfRule>
  </conditionalFormatting>
  <conditionalFormatting sqref="R191">
    <cfRule type="cellIs" dxfId="0" priority="1464" operator="equal">
      <formula>"欠"</formula>
    </cfRule>
  </conditionalFormatting>
  <conditionalFormatting sqref="T191">
    <cfRule type="cellIs" dxfId="0" priority="1345" operator="equal">
      <formula>"欠"</formula>
    </cfRule>
  </conditionalFormatting>
  <conditionalFormatting sqref="AC191">
    <cfRule type="cellIs" dxfId="0" priority="1651" operator="equal">
      <formula>"未完成"</formula>
    </cfRule>
  </conditionalFormatting>
  <conditionalFormatting sqref="AG191:AH191">
    <cfRule type="cellIs" dxfId="0" priority="1685" operator="equal">
      <formula>"未完成"</formula>
    </cfRule>
    <cfRule type="cellIs" dxfId="1" priority="1668" operator="equal">
      <formula>"未完成"</formula>
    </cfRule>
  </conditionalFormatting>
  <conditionalFormatting sqref="AI191">
    <cfRule type="cellIs" dxfId="0" priority="1498" operator="equal">
      <formula>"未完成"</formula>
    </cfRule>
    <cfRule type="cellIs" dxfId="1" priority="1481" operator="equal">
      <formula>"未完成"</formula>
    </cfRule>
  </conditionalFormatting>
  <conditionalFormatting sqref="AJ191">
    <cfRule type="cellIs" dxfId="0" priority="1566" operator="equal">
      <formula>"未完成"</formula>
    </cfRule>
    <cfRule type="cellIs" dxfId="1" priority="1549" operator="equal">
      <formula>"未完成"</formula>
    </cfRule>
  </conditionalFormatting>
  <conditionalFormatting sqref="AK191">
    <cfRule type="cellIs" dxfId="0" priority="1413" operator="equal">
      <formula>"未完成"</formula>
    </cfRule>
    <cfRule type="cellIs" dxfId="1" priority="1396" operator="equal">
      <formula>"未完成"</formula>
    </cfRule>
  </conditionalFormatting>
  <conditionalFormatting sqref="AN191">
    <cfRule type="cellIs" dxfId="0" priority="1379" operator="equal">
      <formula>"未完成"</formula>
    </cfRule>
    <cfRule type="cellIs" dxfId="1" priority="1362" operator="equal">
      <formula>"未完成"</formula>
    </cfRule>
  </conditionalFormatting>
  <conditionalFormatting sqref="AO191">
    <cfRule type="cellIs" dxfId="0" priority="1600" operator="equal">
      <formula>"未完成"</formula>
    </cfRule>
    <cfRule type="cellIs" dxfId="1" priority="1583" operator="equal">
      <formula>"未完成"</formula>
    </cfRule>
  </conditionalFormatting>
  <conditionalFormatting sqref="AQ191">
    <cfRule type="cellIs" dxfId="0" priority="1447" operator="equal">
      <formula>"未完成"</formula>
    </cfRule>
    <cfRule type="cellIs" dxfId="1" priority="1430" operator="equal">
      <formula>"未完成"</formula>
    </cfRule>
  </conditionalFormatting>
  <conditionalFormatting sqref="AR191">
    <cfRule type="cellIs" dxfId="0" priority="1532" operator="equal">
      <formula>"未完成"</formula>
    </cfRule>
    <cfRule type="cellIs" dxfId="1" priority="1515" operator="equal">
      <formula>"未完成"</formula>
    </cfRule>
  </conditionalFormatting>
  <conditionalFormatting sqref="AS191:AT191">
    <cfRule type="cellIs" dxfId="0" priority="1634" operator="equal">
      <formula>"未完成"</formula>
    </cfRule>
    <cfRule type="cellIs" dxfId="1" priority="1617" operator="equal">
      <formula>"未完成"</formula>
    </cfRule>
  </conditionalFormatting>
  <conditionalFormatting sqref="R192">
    <cfRule type="cellIs" dxfId="0" priority="1463" operator="equal">
      <formula>"欠"</formula>
    </cfRule>
  </conditionalFormatting>
  <conditionalFormatting sqref="T192">
    <cfRule type="cellIs" dxfId="0" priority="1344" operator="equal">
      <formula>"欠"</formula>
    </cfRule>
  </conditionalFormatting>
  <conditionalFormatting sqref="AC192">
    <cfRule type="cellIs" dxfId="0" priority="1650" operator="equal">
      <formula>"未完成"</formula>
    </cfRule>
  </conditionalFormatting>
  <conditionalFormatting sqref="AG192:AH192">
    <cfRule type="cellIs" dxfId="0" priority="1684" operator="equal">
      <formula>"未完成"</formula>
    </cfRule>
    <cfRule type="cellIs" dxfId="1" priority="1667" operator="equal">
      <formula>"未完成"</formula>
    </cfRule>
  </conditionalFormatting>
  <conditionalFormatting sqref="AJ192">
    <cfRule type="cellIs" dxfId="0" priority="1565" operator="equal">
      <formula>"未完成"</formula>
    </cfRule>
    <cfRule type="cellIs" dxfId="1" priority="1548" operator="equal">
      <formula>"未完成"</formula>
    </cfRule>
  </conditionalFormatting>
  <conditionalFormatting sqref="AN192">
    <cfRule type="cellIs" dxfId="0" priority="1378" operator="equal">
      <formula>"未完成"</formula>
    </cfRule>
    <cfRule type="cellIs" dxfId="1" priority="1361" operator="equal">
      <formula>"未完成"</formula>
    </cfRule>
  </conditionalFormatting>
  <conditionalFormatting sqref="AO192">
    <cfRule type="cellIs" dxfId="0" priority="1599" operator="equal">
      <formula>"未完成"</formula>
    </cfRule>
    <cfRule type="cellIs" dxfId="1" priority="1582" operator="equal">
      <formula>"未完成"</formula>
    </cfRule>
  </conditionalFormatting>
  <conditionalFormatting sqref="AQ192">
    <cfRule type="cellIs" dxfId="0" priority="1446" operator="equal">
      <formula>"未完成"</formula>
    </cfRule>
    <cfRule type="cellIs" dxfId="1" priority="1429" operator="equal">
      <formula>"未完成"</formula>
    </cfRule>
  </conditionalFormatting>
  <conditionalFormatting sqref="AR192">
    <cfRule type="cellIs" dxfId="0" priority="1531" operator="equal">
      <formula>"未完成"</formula>
    </cfRule>
    <cfRule type="cellIs" dxfId="1" priority="1514" operator="equal">
      <formula>"未完成"</formula>
    </cfRule>
  </conditionalFormatting>
  <conditionalFormatting sqref="AS192:AT192">
    <cfRule type="cellIs" dxfId="0" priority="1633" operator="equal">
      <formula>"未完成"</formula>
    </cfRule>
    <cfRule type="cellIs" dxfId="1" priority="1616" operator="equal">
      <formula>"未完成"</formula>
    </cfRule>
  </conditionalFormatting>
  <conditionalFormatting sqref="R193">
    <cfRule type="cellIs" dxfId="0" priority="1462" operator="equal">
      <formula>"欠"</formula>
    </cfRule>
  </conditionalFormatting>
  <conditionalFormatting sqref="T193">
    <cfRule type="cellIs" dxfId="0" priority="1343" operator="equal">
      <formula>"欠"</formula>
    </cfRule>
  </conditionalFormatting>
  <conditionalFormatting sqref="AC193">
    <cfRule type="cellIs" dxfId="0" priority="1649" operator="equal">
      <formula>"未完成"</formula>
    </cfRule>
  </conditionalFormatting>
  <conditionalFormatting sqref="AG193:AH193">
    <cfRule type="cellIs" dxfId="0" priority="1683" operator="equal">
      <formula>"未完成"</formula>
    </cfRule>
    <cfRule type="cellIs" dxfId="1" priority="1666" operator="equal">
      <formula>"未完成"</formula>
    </cfRule>
  </conditionalFormatting>
  <conditionalFormatting sqref="AI193">
    <cfRule type="cellIs" dxfId="0" priority="1496" operator="equal">
      <formula>"未完成"</formula>
    </cfRule>
    <cfRule type="cellIs" dxfId="1" priority="1479" operator="equal">
      <formula>"未完成"</formula>
    </cfRule>
  </conditionalFormatting>
  <conditionalFormatting sqref="AJ193">
    <cfRule type="cellIs" dxfId="0" priority="1564" operator="equal">
      <formula>"未完成"</formula>
    </cfRule>
    <cfRule type="cellIs" dxfId="1" priority="1547" operator="equal">
      <formula>"未完成"</formula>
    </cfRule>
  </conditionalFormatting>
  <conditionalFormatting sqref="AK193">
    <cfRule type="cellIs" dxfId="0" priority="1411" operator="equal">
      <formula>"未完成"</formula>
    </cfRule>
    <cfRule type="cellIs" dxfId="1" priority="1394" operator="equal">
      <formula>"未完成"</formula>
    </cfRule>
  </conditionalFormatting>
  <conditionalFormatting sqref="AN193">
    <cfRule type="cellIs" dxfId="0" priority="1377" operator="equal">
      <formula>"未完成"</formula>
    </cfRule>
    <cfRule type="cellIs" dxfId="1" priority="1360" operator="equal">
      <formula>"未完成"</formula>
    </cfRule>
  </conditionalFormatting>
  <conditionalFormatting sqref="AO193">
    <cfRule type="cellIs" dxfId="0" priority="1598" operator="equal">
      <formula>"未完成"</formula>
    </cfRule>
    <cfRule type="cellIs" dxfId="1" priority="1581" operator="equal">
      <formula>"未完成"</formula>
    </cfRule>
  </conditionalFormatting>
  <conditionalFormatting sqref="AQ193">
    <cfRule type="cellIs" dxfId="0" priority="1445" operator="equal">
      <formula>"未完成"</formula>
    </cfRule>
    <cfRule type="cellIs" dxfId="1" priority="1428" operator="equal">
      <formula>"未完成"</formula>
    </cfRule>
  </conditionalFormatting>
  <conditionalFormatting sqref="AR193">
    <cfRule type="cellIs" dxfId="0" priority="1530" operator="equal">
      <formula>"未完成"</formula>
    </cfRule>
    <cfRule type="cellIs" dxfId="1" priority="1513" operator="equal">
      <formula>"未完成"</formula>
    </cfRule>
  </conditionalFormatting>
  <conditionalFormatting sqref="AS193:AT193">
    <cfRule type="cellIs" dxfId="0" priority="1632" operator="equal">
      <formula>"未完成"</formula>
    </cfRule>
    <cfRule type="cellIs" dxfId="1" priority="1615" operator="equal">
      <formula>"未完成"</formula>
    </cfRule>
  </conditionalFormatting>
  <conditionalFormatting sqref="R194">
    <cfRule type="cellIs" dxfId="0" priority="1461" operator="equal">
      <formula>"欠"</formula>
    </cfRule>
  </conditionalFormatting>
  <conditionalFormatting sqref="T194">
    <cfRule type="cellIs" dxfId="0" priority="1342" operator="equal">
      <formula>"欠"</formula>
    </cfRule>
  </conditionalFormatting>
  <conditionalFormatting sqref="AC194">
    <cfRule type="cellIs" dxfId="0" priority="1648" operator="equal">
      <formula>"未完成"</formula>
    </cfRule>
  </conditionalFormatting>
  <conditionalFormatting sqref="AG194:AH194">
    <cfRule type="cellIs" dxfId="0" priority="1682" operator="equal">
      <formula>"未完成"</formula>
    </cfRule>
    <cfRule type="cellIs" dxfId="1" priority="1665" operator="equal">
      <formula>"未完成"</formula>
    </cfRule>
  </conditionalFormatting>
  <conditionalFormatting sqref="AI194">
    <cfRule type="cellIs" dxfId="0" priority="1495" operator="equal">
      <formula>"未完成"</formula>
    </cfRule>
    <cfRule type="cellIs" dxfId="1" priority="1478" operator="equal">
      <formula>"未完成"</formula>
    </cfRule>
  </conditionalFormatting>
  <conditionalFormatting sqref="AJ194">
    <cfRule type="cellIs" dxfId="0" priority="1563" operator="equal">
      <formula>"未完成"</formula>
    </cfRule>
    <cfRule type="cellIs" dxfId="1" priority="1546" operator="equal">
      <formula>"未完成"</formula>
    </cfRule>
  </conditionalFormatting>
  <conditionalFormatting sqref="AK194">
    <cfRule type="cellIs" dxfId="0" priority="1410" operator="equal">
      <formula>"未完成"</formula>
    </cfRule>
    <cfRule type="cellIs" dxfId="1" priority="1393" operator="equal">
      <formula>"未完成"</formula>
    </cfRule>
  </conditionalFormatting>
  <conditionalFormatting sqref="AN194">
    <cfRule type="cellIs" dxfId="0" priority="1376" operator="equal">
      <formula>"未完成"</formula>
    </cfRule>
    <cfRule type="cellIs" dxfId="1" priority="1359" operator="equal">
      <formula>"未完成"</formula>
    </cfRule>
  </conditionalFormatting>
  <conditionalFormatting sqref="AO194">
    <cfRule type="cellIs" dxfId="0" priority="1597" operator="equal">
      <formula>"未完成"</formula>
    </cfRule>
    <cfRule type="cellIs" dxfId="1" priority="1580" operator="equal">
      <formula>"未完成"</formula>
    </cfRule>
  </conditionalFormatting>
  <conditionalFormatting sqref="AQ194">
    <cfRule type="cellIs" dxfId="0" priority="1444" operator="equal">
      <formula>"未完成"</formula>
    </cfRule>
    <cfRule type="cellIs" dxfId="1" priority="1427" operator="equal">
      <formula>"未完成"</formula>
    </cfRule>
  </conditionalFormatting>
  <conditionalFormatting sqref="AR194">
    <cfRule type="cellIs" dxfId="0" priority="1529" operator="equal">
      <formula>"未完成"</formula>
    </cfRule>
    <cfRule type="cellIs" dxfId="1" priority="1512" operator="equal">
      <formula>"未完成"</formula>
    </cfRule>
  </conditionalFormatting>
  <conditionalFormatting sqref="AS194:AT194">
    <cfRule type="cellIs" dxfId="0" priority="1631" operator="equal">
      <formula>"未完成"</formula>
    </cfRule>
    <cfRule type="cellIs" dxfId="1" priority="1614" operator="equal">
      <formula>"未完成"</formula>
    </cfRule>
  </conditionalFormatting>
  <conditionalFormatting sqref="R195">
    <cfRule type="cellIs" dxfId="0" priority="1460" operator="equal">
      <formula>"欠"</formula>
    </cfRule>
  </conditionalFormatting>
  <conditionalFormatting sqref="T195">
    <cfRule type="cellIs" dxfId="0" priority="1341" operator="equal">
      <formula>"欠"</formula>
    </cfRule>
  </conditionalFormatting>
  <conditionalFormatting sqref="AC195">
    <cfRule type="cellIs" dxfId="0" priority="1647" operator="equal">
      <formula>"未完成"</formula>
    </cfRule>
  </conditionalFormatting>
  <conditionalFormatting sqref="AG195:AH195">
    <cfRule type="cellIs" dxfId="0" priority="1681" operator="equal">
      <formula>"未完成"</formula>
    </cfRule>
    <cfRule type="cellIs" dxfId="1" priority="1664" operator="equal">
      <formula>"未完成"</formula>
    </cfRule>
  </conditionalFormatting>
  <conditionalFormatting sqref="AI195">
    <cfRule type="cellIs" dxfId="0" priority="1494" operator="equal">
      <formula>"未完成"</formula>
    </cfRule>
    <cfRule type="cellIs" dxfId="1" priority="1477" operator="equal">
      <formula>"未完成"</formula>
    </cfRule>
  </conditionalFormatting>
  <conditionalFormatting sqref="AJ195">
    <cfRule type="cellIs" dxfId="0" priority="1562" operator="equal">
      <formula>"未完成"</formula>
    </cfRule>
    <cfRule type="cellIs" dxfId="1" priority="1545" operator="equal">
      <formula>"未完成"</formula>
    </cfRule>
  </conditionalFormatting>
  <conditionalFormatting sqref="AK195">
    <cfRule type="cellIs" dxfId="0" priority="1409" operator="equal">
      <formula>"未完成"</formula>
    </cfRule>
    <cfRule type="cellIs" dxfId="1" priority="1392" operator="equal">
      <formula>"未完成"</formula>
    </cfRule>
  </conditionalFormatting>
  <conditionalFormatting sqref="AN195">
    <cfRule type="cellIs" dxfId="0" priority="1375" operator="equal">
      <formula>"未完成"</formula>
    </cfRule>
    <cfRule type="cellIs" dxfId="1" priority="1358" operator="equal">
      <formula>"未完成"</formula>
    </cfRule>
  </conditionalFormatting>
  <conditionalFormatting sqref="AO195">
    <cfRule type="cellIs" dxfId="0" priority="1596" operator="equal">
      <formula>"未完成"</formula>
    </cfRule>
    <cfRule type="cellIs" dxfId="1" priority="1579" operator="equal">
      <formula>"未完成"</formula>
    </cfRule>
  </conditionalFormatting>
  <conditionalFormatting sqref="AQ195">
    <cfRule type="cellIs" dxfId="0" priority="1443" operator="equal">
      <formula>"未完成"</formula>
    </cfRule>
    <cfRule type="cellIs" dxfId="1" priority="1426" operator="equal">
      <formula>"未完成"</formula>
    </cfRule>
  </conditionalFormatting>
  <conditionalFormatting sqref="AR195">
    <cfRule type="cellIs" dxfId="0" priority="1528" operator="equal">
      <formula>"未完成"</formula>
    </cfRule>
    <cfRule type="cellIs" dxfId="1" priority="1511" operator="equal">
      <formula>"未完成"</formula>
    </cfRule>
  </conditionalFormatting>
  <conditionalFormatting sqref="AS195:AT195">
    <cfRule type="cellIs" dxfId="0" priority="1630" operator="equal">
      <formula>"未完成"</formula>
    </cfRule>
    <cfRule type="cellIs" dxfId="1" priority="1613" operator="equal">
      <formula>"未完成"</formula>
    </cfRule>
  </conditionalFormatting>
  <conditionalFormatting sqref="R196">
    <cfRule type="cellIs" dxfId="0" priority="1459" operator="equal">
      <formula>"欠"</formula>
    </cfRule>
  </conditionalFormatting>
  <conditionalFormatting sqref="T196">
    <cfRule type="cellIs" dxfId="0" priority="1340" operator="equal">
      <formula>"欠"</formula>
    </cfRule>
  </conditionalFormatting>
  <conditionalFormatting sqref="AC196">
    <cfRule type="cellIs" dxfId="0" priority="1646" operator="equal">
      <formula>"未完成"</formula>
    </cfRule>
  </conditionalFormatting>
  <conditionalFormatting sqref="AG196:AH196">
    <cfRule type="cellIs" dxfId="0" priority="1680" operator="equal">
      <formula>"未完成"</formula>
    </cfRule>
    <cfRule type="cellIs" dxfId="1" priority="1663" operator="equal">
      <formula>"未完成"</formula>
    </cfRule>
  </conditionalFormatting>
  <conditionalFormatting sqref="AI196">
    <cfRule type="cellIs" dxfId="0" priority="1493" operator="equal">
      <formula>"未完成"</formula>
    </cfRule>
    <cfRule type="cellIs" dxfId="1" priority="1476" operator="equal">
      <formula>"未完成"</formula>
    </cfRule>
  </conditionalFormatting>
  <conditionalFormatting sqref="AJ196">
    <cfRule type="cellIs" dxfId="0" priority="1561" operator="equal">
      <formula>"未完成"</formula>
    </cfRule>
    <cfRule type="cellIs" dxfId="1" priority="1544" operator="equal">
      <formula>"未完成"</formula>
    </cfRule>
  </conditionalFormatting>
  <conditionalFormatting sqref="AK196">
    <cfRule type="cellIs" dxfId="0" priority="1408" operator="equal">
      <formula>"未完成"</formula>
    </cfRule>
    <cfRule type="cellIs" dxfId="1" priority="1391" operator="equal">
      <formula>"未完成"</formula>
    </cfRule>
  </conditionalFormatting>
  <conditionalFormatting sqref="AN196">
    <cfRule type="cellIs" dxfId="0" priority="1374" operator="equal">
      <formula>"未完成"</formula>
    </cfRule>
    <cfRule type="cellIs" dxfId="1" priority="1357" operator="equal">
      <formula>"未完成"</formula>
    </cfRule>
  </conditionalFormatting>
  <conditionalFormatting sqref="AO196">
    <cfRule type="cellIs" dxfId="0" priority="1595" operator="equal">
      <formula>"未完成"</formula>
    </cfRule>
    <cfRule type="cellIs" dxfId="1" priority="1578" operator="equal">
      <formula>"未完成"</formula>
    </cfRule>
  </conditionalFormatting>
  <conditionalFormatting sqref="AQ196">
    <cfRule type="cellIs" dxfId="0" priority="1442" operator="equal">
      <formula>"未完成"</formula>
    </cfRule>
    <cfRule type="cellIs" dxfId="1" priority="1425" operator="equal">
      <formula>"未完成"</formula>
    </cfRule>
  </conditionalFormatting>
  <conditionalFormatting sqref="AR196">
    <cfRule type="cellIs" dxfId="0" priority="1527" operator="equal">
      <formula>"未完成"</formula>
    </cfRule>
    <cfRule type="cellIs" dxfId="1" priority="1510" operator="equal">
      <formula>"未完成"</formula>
    </cfRule>
  </conditionalFormatting>
  <conditionalFormatting sqref="AS196:AT196">
    <cfRule type="cellIs" dxfId="0" priority="1629" operator="equal">
      <formula>"未完成"</formula>
    </cfRule>
    <cfRule type="cellIs" dxfId="1" priority="1612" operator="equal">
      <formula>"未完成"</formula>
    </cfRule>
  </conditionalFormatting>
  <conditionalFormatting sqref="R197">
    <cfRule type="cellIs" dxfId="0" priority="1458" operator="equal">
      <formula>"欠"</formula>
    </cfRule>
  </conditionalFormatting>
  <conditionalFormatting sqref="T197">
    <cfRule type="cellIs" dxfId="0" priority="1339" operator="equal">
      <formula>"欠"</formula>
    </cfRule>
  </conditionalFormatting>
  <conditionalFormatting sqref="AC197">
    <cfRule type="cellIs" dxfId="0" priority="1645" operator="equal">
      <formula>"未完成"</formula>
    </cfRule>
  </conditionalFormatting>
  <conditionalFormatting sqref="AG197:AH197">
    <cfRule type="cellIs" dxfId="0" priority="1679" operator="equal">
      <formula>"未完成"</formula>
    </cfRule>
    <cfRule type="cellIs" dxfId="1" priority="1662" operator="equal">
      <formula>"未完成"</formula>
    </cfRule>
  </conditionalFormatting>
  <conditionalFormatting sqref="AI197">
    <cfRule type="cellIs" dxfId="0" priority="1492" operator="equal">
      <formula>"未完成"</formula>
    </cfRule>
    <cfRule type="cellIs" dxfId="1" priority="1475" operator="equal">
      <formula>"未完成"</formula>
    </cfRule>
  </conditionalFormatting>
  <conditionalFormatting sqref="AJ197">
    <cfRule type="cellIs" dxfId="0" priority="1560" operator="equal">
      <formula>"未完成"</formula>
    </cfRule>
    <cfRule type="cellIs" dxfId="1" priority="1543" operator="equal">
      <formula>"未完成"</formula>
    </cfRule>
  </conditionalFormatting>
  <conditionalFormatting sqref="AK197">
    <cfRule type="cellIs" dxfId="0" priority="1407" operator="equal">
      <formula>"未完成"</formula>
    </cfRule>
    <cfRule type="cellIs" dxfId="1" priority="1390" operator="equal">
      <formula>"未完成"</formula>
    </cfRule>
  </conditionalFormatting>
  <conditionalFormatting sqref="AN197">
    <cfRule type="cellIs" dxfId="0" priority="1373" operator="equal">
      <formula>"未完成"</formula>
    </cfRule>
    <cfRule type="cellIs" dxfId="1" priority="1356" operator="equal">
      <formula>"未完成"</formula>
    </cfRule>
  </conditionalFormatting>
  <conditionalFormatting sqref="AO197">
    <cfRule type="cellIs" dxfId="0" priority="1594" operator="equal">
      <formula>"未完成"</formula>
    </cfRule>
    <cfRule type="cellIs" dxfId="1" priority="1577" operator="equal">
      <formula>"未完成"</formula>
    </cfRule>
  </conditionalFormatting>
  <conditionalFormatting sqref="AQ197">
    <cfRule type="cellIs" dxfId="0" priority="1441" operator="equal">
      <formula>"未完成"</formula>
    </cfRule>
    <cfRule type="cellIs" dxfId="1" priority="1424" operator="equal">
      <formula>"未完成"</formula>
    </cfRule>
  </conditionalFormatting>
  <conditionalFormatting sqref="AR197">
    <cfRule type="cellIs" dxfId="0" priority="1526" operator="equal">
      <formula>"未完成"</formula>
    </cfRule>
    <cfRule type="cellIs" dxfId="1" priority="1509" operator="equal">
      <formula>"未完成"</formula>
    </cfRule>
  </conditionalFormatting>
  <conditionalFormatting sqref="AS197:AT197">
    <cfRule type="cellIs" dxfId="0" priority="1628" operator="equal">
      <formula>"未完成"</formula>
    </cfRule>
    <cfRule type="cellIs" dxfId="1" priority="1611" operator="equal">
      <formula>"未完成"</formula>
    </cfRule>
  </conditionalFormatting>
  <conditionalFormatting sqref="R198">
    <cfRule type="cellIs" dxfId="0" priority="1457" operator="equal">
      <formula>"欠"</formula>
    </cfRule>
  </conditionalFormatting>
  <conditionalFormatting sqref="T198">
    <cfRule type="cellIs" dxfId="0" priority="1338" operator="equal">
      <formula>"欠"</formula>
    </cfRule>
  </conditionalFormatting>
  <conditionalFormatting sqref="AC198">
    <cfRule type="cellIs" dxfId="0" priority="1644" operator="equal">
      <formula>"未完成"</formula>
    </cfRule>
  </conditionalFormatting>
  <conditionalFormatting sqref="AG198:AH198">
    <cfRule type="cellIs" dxfId="0" priority="1678" operator="equal">
      <formula>"未完成"</formula>
    </cfRule>
    <cfRule type="cellIs" dxfId="1" priority="1661" operator="equal">
      <formula>"未完成"</formula>
    </cfRule>
  </conditionalFormatting>
  <conditionalFormatting sqref="AI198">
    <cfRule type="cellIs" dxfId="0" priority="1491" operator="equal">
      <formula>"未完成"</formula>
    </cfRule>
    <cfRule type="cellIs" dxfId="1" priority="1474" operator="equal">
      <formula>"未完成"</formula>
    </cfRule>
  </conditionalFormatting>
  <conditionalFormatting sqref="AJ198">
    <cfRule type="cellIs" dxfId="0" priority="1559" operator="equal">
      <formula>"未完成"</formula>
    </cfRule>
    <cfRule type="cellIs" dxfId="1" priority="1542" operator="equal">
      <formula>"未完成"</formula>
    </cfRule>
  </conditionalFormatting>
  <conditionalFormatting sqref="AK198">
    <cfRule type="cellIs" dxfId="0" priority="1406" operator="equal">
      <formula>"未完成"</formula>
    </cfRule>
    <cfRule type="cellIs" dxfId="1" priority="1389" operator="equal">
      <formula>"未完成"</formula>
    </cfRule>
  </conditionalFormatting>
  <conditionalFormatting sqref="AN198">
    <cfRule type="cellIs" dxfId="0" priority="1372" operator="equal">
      <formula>"未完成"</formula>
    </cfRule>
    <cfRule type="cellIs" dxfId="1" priority="1355" operator="equal">
      <formula>"未完成"</formula>
    </cfRule>
  </conditionalFormatting>
  <conditionalFormatting sqref="AO198">
    <cfRule type="cellIs" dxfId="0" priority="1593" operator="equal">
      <formula>"未完成"</formula>
    </cfRule>
    <cfRule type="cellIs" dxfId="1" priority="1576" operator="equal">
      <formula>"未完成"</formula>
    </cfRule>
  </conditionalFormatting>
  <conditionalFormatting sqref="AQ198">
    <cfRule type="cellIs" dxfId="0" priority="1440" operator="equal">
      <formula>"未完成"</formula>
    </cfRule>
    <cfRule type="cellIs" dxfId="1" priority="1423" operator="equal">
      <formula>"未完成"</formula>
    </cfRule>
  </conditionalFormatting>
  <conditionalFormatting sqref="AR198">
    <cfRule type="cellIs" dxfId="0" priority="1525" operator="equal">
      <formula>"未完成"</formula>
    </cfRule>
    <cfRule type="cellIs" dxfId="1" priority="1508" operator="equal">
      <formula>"未完成"</formula>
    </cfRule>
  </conditionalFormatting>
  <conditionalFormatting sqref="AS198:AT198">
    <cfRule type="cellIs" dxfId="0" priority="1627" operator="equal">
      <formula>"未完成"</formula>
    </cfRule>
    <cfRule type="cellIs" dxfId="1" priority="1610" operator="equal">
      <formula>"未完成"</formula>
    </cfRule>
  </conditionalFormatting>
  <conditionalFormatting sqref="R199">
    <cfRule type="cellIs" dxfId="0" priority="1456" operator="equal">
      <formula>"欠"</formula>
    </cfRule>
  </conditionalFormatting>
  <conditionalFormatting sqref="T199">
    <cfRule type="cellIs" dxfId="0" priority="1337" operator="equal">
      <formula>"欠"</formula>
    </cfRule>
  </conditionalFormatting>
  <conditionalFormatting sqref="AC199">
    <cfRule type="cellIs" dxfId="0" priority="1643" operator="equal">
      <formula>"未完成"</formula>
    </cfRule>
  </conditionalFormatting>
  <conditionalFormatting sqref="AG199:AH199">
    <cfRule type="cellIs" dxfId="0" priority="1677" operator="equal">
      <formula>"未完成"</formula>
    </cfRule>
    <cfRule type="cellIs" dxfId="1" priority="1660" operator="equal">
      <formula>"未完成"</formula>
    </cfRule>
  </conditionalFormatting>
  <conditionalFormatting sqref="AI199">
    <cfRule type="cellIs" dxfId="0" priority="1490" operator="equal">
      <formula>"未完成"</formula>
    </cfRule>
    <cfRule type="cellIs" dxfId="1" priority="1473" operator="equal">
      <formula>"未完成"</formula>
    </cfRule>
  </conditionalFormatting>
  <conditionalFormatting sqref="AJ199">
    <cfRule type="cellIs" dxfId="0" priority="1558" operator="equal">
      <formula>"未完成"</formula>
    </cfRule>
    <cfRule type="cellIs" dxfId="1" priority="1541" operator="equal">
      <formula>"未完成"</formula>
    </cfRule>
  </conditionalFormatting>
  <conditionalFormatting sqref="AK199">
    <cfRule type="cellIs" dxfId="0" priority="1405" operator="equal">
      <formula>"未完成"</formula>
    </cfRule>
    <cfRule type="cellIs" dxfId="1" priority="1388" operator="equal">
      <formula>"未完成"</formula>
    </cfRule>
  </conditionalFormatting>
  <conditionalFormatting sqref="AN199">
    <cfRule type="cellIs" dxfId="0" priority="1371" operator="equal">
      <formula>"未完成"</formula>
    </cfRule>
    <cfRule type="cellIs" dxfId="1" priority="1354" operator="equal">
      <formula>"未完成"</formula>
    </cfRule>
  </conditionalFormatting>
  <conditionalFormatting sqref="AO199">
    <cfRule type="cellIs" dxfId="0" priority="1592" operator="equal">
      <formula>"未完成"</formula>
    </cfRule>
    <cfRule type="cellIs" dxfId="1" priority="1575" operator="equal">
      <formula>"未完成"</formula>
    </cfRule>
  </conditionalFormatting>
  <conditionalFormatting sqref="AQ199">
    <cfRule type="cellIs" dxfId="0" priority="1439" operator="equal">
      <formula>"未完成"</formula>
    </cfRule>
    <cfRule type="cellIs" dxfId="1" priority="1422" operator="equal">
      <formula>"未完成"</formula>
    </cfRule>
  </conditionalFormatting>
  <conditionalFormatting sqref="AR199">
    <cfRule type="cellIs" dxfId="0" priority="1524" operator="equal">
      <formula>"未完成"</formula>
    </cfRule>
    <cfRule type="cellIs" dxfId="1" priority="1507" operator="equal">
      <formula>"未完成"</formula>
    </cfRule>
  </conditionalFormatting>
  <conditionalFormatting sqref="AS199:AT199">
    <cfRule type="cellIs" dxfId="0" priority="1626" operator="equal">
      <formula>"未完成"</formula>
    </cfRule>
    <cfRule type="cellIs" dxfId="1" priority="1609" operator="equal">
      <formula>"未完成"</formula>
    </cfRule>
  </conditionalFormatting>
  <conditionalFormatting sqref="R200">
    <cfRule type="cellIs" dxfId="0" priority="1455" operator="equal">
      <formula>"欠"</formula>
    </cfRule>
  </conditionalFormatting>
  <conditionalFormatting sqref="T200">
    <cfRule type="cellIs" dxfId="0" priority="1336" operator="equal">
      <formula>"欠"</formula>
    </cfRule>
  </conditionalFormatting>
  <conditionalFormatting sqref="AC200">
    <cfRule type="cellIs" dxfId="0" priority="1642" operator="equal">
      <formula>"未完成"</formula>
    </cfRule>
  </conditionalFormatting>
  <conditionalFormatting sqref="AG200:AH200">
    <cfRule type="cellIs" dxfId="0" priority="1676" operator="equal">
      <formula>"未完成"</formula>
    </cfRule>
    <cfRule type="cellIs" dxfId="1" priority="1659" operator="equal">
      <formula>"未完成"</formula>
    </cfRule>
  </conditionalFormatting>
  <conditionalFormatting sqref="AI200">
    <cfRule type="cellIs" dxfId="0" priority="1489" operator="equal">
      <formula>"未完成"</formula>
    </cfRule>
    <cfRule type="cellIs" dxfId="1" priority="1472" operator="equal">
      <formula>"未完成"</formula>
    </cfRule>
  </conditionalFormatting>
  <conditionalFormatting sqref="AJ200">
    <cfRule type="cellIs" dxfId="0" priority="1557" operator="equal">
      <formula>"未完成"</formula>
    </cfRule>
    <cfRule type="cellIs" dxfId="1" priority="1540" operator="equal">
      <formula>"未完成"</formula>
    </cfRule>
  </conditionalFormatting>
  <conditionalFormatting sqref="AK200">
    <cfRule type="cellIs" dxfId="0" priority="1404" operator="equal">
      <formula>"未完成"</formula>
    </cfRule>
    <cfRule type="cellIs" dxfId="1" priority="1387" operator="equal">
      <formula>"未完成"</formula>
    </cfRule>
  </conditionalFormatting>
  <conditionalFormatting sqref="AN200">
    <cfRule type="cellIs" dxfId="0" priority="1370" operator="equal">
      <formula>"未完成"</formula>
    </cfRule>
    <cfRule type="cellIs" dxfId="1" priority="1353" operator="equal">
      <formula>"未完成"</formula>
    </cfRule>
  </conditionalFormatting>
  <conditionalFormatting sqref="AO200">
    <cfRule type="cellIs" dxfId="0" priority="1591" operator="equal">
      <formula>"未完成"</formula>
    </cfRule>
    <cfRule type="cellIs" dxfId="1" priority="1574" operator="equal">
      <formula>"未完成"</formula>
    </cfRule>
  </conditionalFormatting>
  <conditionalFormatting sqref="AQ200">
    <cfRule type="cellIs" dxfId="0" priority="1438" operator="equal">
      <formula>"未完成"</formula>
    </cfRule>
    <cfRule type="cellIs" dxfId="1" priority="1421" operator="equal">
      <formula>"未完成"</formula>
    </cfRule>
  </conditionalFormatting>
  <conditionalFormatting sqref="AR200">
    <cfRule type="cellIs" dxfId="0" priority="1523" operator="equal">
      <formula>"未完成"</formula>
    </cfRule>
    <cfRule type="cellIs" dxfId="1" priority="1506" operator="equal">
      <formula>"未完成"</formula>
    </cfRule>
  </conditionalFormatting>
  <conditionalFormatting sqref="AS200:AT200">
    <cfRule type="cellIs" dxfId="0" priority="1625" operator="equal">
      <formula>"未完成"</formula>
    </cfRule>
    <cfRule type="cellIs" dxfId="1" priority="1608" operator="equal">
      <formula>"未完成"</formula>
    </cfRule>
  </conditionalFormatting>
  <conditionalFormatting sqref="R201">
    <cfRule type="cellIs" dxfId="0" priority="1454" operator="equal">
      <formula>"欠"</formula>
    </cfRule>
  </conditionalFormatting>
  <conditionalFormatting sqref="T201">
    <cfRule type="cellIs" dxfId="0" priority="1335" operator="equal">
      <formula>"欠"</formula>
    </cfRule>
  </conditionalFormatting>
  <conditionalFormatting sqref="AC201">
    <cfRule type="cellIs" dxfId="0" priority="1641" operator="equal">
      <formula>"未完成"</formula>
    </cfRule>
  </conditionalFormatting>
  <conditionalFormatting sqref="AG201:AH201">
    <cfRule type="cellIs" dxfId="0" priority="1675" operator="equal">
      <formula>"未完成"</formula>
    </cfRule>
    <cfRule type="cellIs" dxfId="1" priority="1658" operator="equal">
      <formula>"未完成"</formula>
    </cfRule>
  </conditionalFormatting>
  <conditionalFormatting sqref="AI201">
    <cfRule type="cellIs" dxfId="0" priority="1488" operator="equal">
      <formula>"未完成"</formula>
    </cfRule>
    <cfRule type="cellIs" dxfId="1" priority="1471" operator="equal">
      <formula>"未完成"</formula>
    </cfRule>
  </conditionalFormatting>
  <conditionalFormatting sqref="AJ201">
    <cfRule type="cellIs" dxfId="0" priority="1556" operator="equal">
      <formula>"未完成"</formula>
    </cfRule>
    <cfRule type="cellIs" dxfId="1" priority="1539" operator="equal">
      <formula>"未完成"</formula>
    </cfRule>
  </conditionalFormatting>
  <conditionalFormatting sqref="AK201">
    <cfRule type="cellIs" dxfId="0" priority="1403" operator="equal">
      <formula>"未完成"</formula>
    </cfRule>
    <cfRule type="cellIs" dxfId="1" priority="1386" operator="equal">
      <formula>"未完成"</formula>
    </cfRule>
  </conditionalFormatting>
  <conditionalFormatting sqref="AN201">
    <cfRule type="cellIs" dxfId="0" priority="1369" operator="equal">
      <formula>"未完成"</formula>
    </cfRule>
    <cfRule type="cellIs" dxfId="1" priority="1352" operator="equal">
      <formula>"未完成"</formula>
    </cfRule>
  </conditionalFormatting>
  <conditionalFormatting sqref="AO201">
    <cfRule type="cellIs" dxfId="0" priority="1590" operator="equal">
      <formula>"未完成"</formula>
    </cfRule>
    <cfRule type="cellIs" dxfId="1" priority="1573" operator="equal">
      <formula>"未完成"</formula>
    </cfRule>
  </conditionalFormatting>
  <conditionalFormatting sqref="AQ201">
    <cfRule type="cellIs" dxfId="0" priority="1437" operator="equal">
      <formula>"未完成"</formula>
    </cfRule>
    <cfRule type="cellIs" dxfId="1" priority="1420" operator="equal">
      <formula>"未完成"</formula>
    </cfRule>
  </conditionalFormatting>
  <conditionalFormatting sqref="AR201">
    <cfRule type="cellIs" dxfId="0" priority="1522" operator="equal">
      <formula>"未完成"</formula>
    </cfRule>
    <cfRule type="cellIs" dxfId="1" priority="1505" operator="equal">
      <formula>"未完成"</formula>
    </cfRule>
  </conditionalFormatting>
  <conditionalFormatting sqref="AS201:AT201">
    <cfRule type="cellIs" dxfId="0" priority="1624" operator="equal">
      <formula>"未完成"</formula>
    </cfRule>
    <cfRule type="cellIs" dxfId="1" priority="1607" operator="equal">
      <formula>"未完成"</formula>
    </cfRule>
  </conditionalFormatting>
  <conditionalFormatting sqref="R202">
    <cfRule type="cellIs" dxfId="0" priority="1453" operator="equal">
      <formula>"欠"</formula>
    </cfRule>
  </conditionalFormatting>
  <conditionalFormatting sqref="T202">
    <cfRule type="cellIs" dxfId="0" priority="1334" operator="equal">
      <formula>"欠"</formula>
    </cfRule>
  </conditionalFormatting>
  <conditionalFormatting sqref="AC202">
    <cfRule type="cellIs" dxfId="0" priority="1640" operator="equal">
      <formula>"未完成"</formula>
    </cfRule>
  </conditionalFormatting>
  <conditionalFormatting sqref="AG202:AH202">
    <cfRule type="cellIs" dxfId="0" priority="1674" operator="equal">
      <formula>"未完成"</formula>
    </cfRule>
    <cfRule type="cellIs" dxfId="1" priority="1657" operator="equal">
      <formula>"未完成"</formula>
    </cfRule>
  </conditionalFormatting>
  <conditionalFormatting sqref="AI202">
    <cfRule type="cellIs" dxfId="0" priority="1487" operator="equal">
      <formula>"未完成"</formula>
    </cfRule>
    <cfRule type="cellIs" dxfId="1" priority="1470" operator="equal">
      <formula>"未完成"</formula>
    </cfRule>
  </conditionalFormatting>
  <conditionalFormatting sqref="AJ202">
    <cfRule type="cellIs" dxfId="0" priority="1555" operator="equal">
      <formula>"未完成"</formula>
    </cfRule>
    <cfRule type="cellIs" dxfId="1" priority="1538" operator="equal">
      <formula>"未完成"</formula>
    </cfRule>
  </conditionalFormatting>
  <conditionalFormatting sqref="AK202">
    <cfRule type="cellIs" dxfId="0" priority="1402" operator="equal">
      <formula>"未完成"</formula>
    </cfRule>
    <cfRule type="cellIs" dxfId="1" priority="1385" operator="equal">
      <formula>"未完成"</formula>
    </cfRule>
  </conditionalFormatting>
  <conditionalFormatting sqref="AN202">
    <cfRule type="cellIs" dxfId="0" priority="1368" operator="equal">
      <formula>"未完成"</formula>
    </cfRule>
    <cfRule type="cellIs" dxfId="1" priority="1351" operator="equal">
      <formula>"未完成"</formula>
    </cfRule>
  </conditionalFormatting>
  <conditionalFormatting sqref="AO202">
    <cfRule type="cellIs" dxfId="0" priority="1589" operator="equal">
      <formula>"未完成"</formula>
    </cfRule>
    <cfRule type="cellIs" dxfId="1" priority="1572" operator="equal">
      <formula>"未完成"</formula>
    </cfRule>
  </conditionalFormatting>
  <conditionalFormatting sqref="AQ202">
    <cfRule type="cellIs" dxfId="0" priority="1436" operator="equal">
      <formula>"未完成"</formula>
    </cfRule>
    <cfRule type="cellIs" dxfId="1" priority="1419" operator="equal">
      <formula>"未完成"</formula>
    </cfRule>
  </conditionalFormatting>
  <conditionalFormatting sqref="AR202">
    <cfRule type="cellIs" dxfId="0" priority="1521" operator="equal">
      <formula>"未完成"</formula>
    </cfRule>
    <cfRule type="cellIs" dxfId="1" priority="1504" operator="equal">
      <formula>"未完成"</formula>
    </cfRule>
  </conditionalFormatting>
  <conditionalFormatting sqref="AS202:AT202">
    <cfRule type="cellIs" dxfId="0" priority="1623" operator="equal">
      <formula>"未完成"</formula>
    </cfRule>
    <cfRule type="cellIs" dxfId="1" priority="1606" operator="equal">
      <formula>"未完成"</formula>
    </cfRule>
  </conditionalFormatting>
  <conditionalFormatting sqref="R203">
    <cfRule type="cellIs" dxfId="0" priority="1452" operator="equal">
      <formula>"欠"</formula>
    </cfRule>
  </conditionalFormatting>
  <conditionalFormatting sqref="T203">
    <cfRule type="cellIs" dxfId="0" priority="1333" operator="equal">
      <formula>"欠"</formula>
    </cfRule>
  </conditionalFormatting>
  <conditionalFormatting sqref="AC203">
    <cfRule type="cellIs" dxfId="0" priority="1639" operator="equal">
      <formula>"未完成"</formula>
    </cfRule>
  </conditionalFormatting>
  <conditionalFormatting sqref="AG203:AH203">
    <cfRule type="cellIs" dxfId="0" priority="1673" operator="equal">
      <formula>"未完成"</formula>
    </cfRule>
    <cfRule type="cellIs" dxfId="1" priority="1656" operator="equal">
      <formula>"未完成"</formula>
    </cfRule>
  </conditionalFormatting>
  <conditionalFormatting sqref="AI203">
    <cfRule type="cellIs" dxfId="0" priority="1486" operator="equal">
      <formula>"未完成"</formula>
    </cfRule>
    <cfRule type="cellIs" dxfId="1" priority="1469" operator="equal">
      <formula>"未完成"</formula>
    </cfRule>
  </conditionalFormatting>
  <conditionalFormatting sqref="AJ203">
    <cfRule type="cellIs" dxfId="0" priority="1554" operator="equal">
      <formula>"未完成"</formula>
    </cfRule>
    <cfRule type="cellIs" dxfId="1" priority="1537" operator="equal">
      <formula>"未完成"</formula>
    </cfRule>
  </conditionalFormatting>
  <conditionalFormatting sqref="AK203">
    <cfRule type="cellIs" dxfId="0" priority="1401" operator="equal">
      <formula>"未完成"</formula>
    </cfRule>
    <cfRule type="cellIs" dxfId="1" priority="1384" operator="equal">
      <formula>"未完成"</formula>
    </cfRule>
  </conditionalFormatting>
  <conditionalFormatting sqref="AN203">
    <cfRule type="cellIs" dxfId="0" priority="1367" operator="equal">
      <formula>"未完成"</formula>
    </cfRule>
    <cfRule type="cellIs" dxfId="1" priority="1350" operator="equal">
      <formula>"未完成"</formula>
    </cfRule>
  </conditionalFormatting>
  <conditionalFormatting sqref="AO203">
    <cfRule type="cellIs" dxfId="0" priority="1588" operator="equal">
      <formula>"未完成"</formula>
    </cfRule>
    <cfRule type="cellIs" dxfId="1" priority="1571" operator="equal">
      <formula>"未完成"</formula>
    </cfRule>
  </conditionalFormatting>
  <conditionalFormatting sqref="AQ203">
    <cfRule type="cellIs" dxfId="0" priority="1435" operator="equal">
      <formula>"未完成"</formula>
    </cfRule>
    <cfRule type="cellIs" dxfId="1" priority="1418" operator="equal">
      <formula>"未完成"</formula>
    </cfRule>
  </conditionalFormatting>
  <conditionalFormatting sqref="AR203">
    <cfRule type="cellIs" dxfId="0" priority="1520" operator="equal">
      <formula>"未完成"</formula>
    </cfRule>
    <cfRule type="cellIs" dxfId="1" priority="1503" operator="equal">
      <formula>"未完成"</formula>
    </cfRule>
  </conditionalFormatting>
  <conditionalFormatting sqref="AS203:AT203">
    <cfRule type="cellIs" dxfId="0" priority="1622" operator="equal">
      <formula>"未完成"</formula>
    </cfRule>
    <cfRule type="cellIs" dxfId="1" priority="1605" operator="equal">
      <formula>"未完成"</formula>
    </cfRule>
  </conditionalFormatting>
  <conditionalFormatting sqref="R204">
    <cfRule type="cellIs" dxfId="0" priority="1451" operator="equal">
      <formula>"欠"</formula>
    </cfRule>
  </conditionalFormatting>
  <conditionalFormatting sqref="T204">
    <cfRule type="cellIs" dxfId="0" priority="1332" operator="equal">
      <formula>"欠"</formula>
    </cfRule>
  </conditionalFormatting>
  <conditionalFormatting sqref="AC204">
    <cfRule type="cellIs" dxfId="0" priority="1638" operator="equal">
      <formula>"未完成"</formula>
    </cfRule>
  </conditionalFormatting>
  <conditionalFormatting sqref="AG204:AH204">
    <cfRule type="cellIs" dxfId="0" priority="1672" operator="equal">
      <formula>"未完成"</formula>
    </cfRule>
    <cfRule type="cellIs" dxfId="1" priority="1655" operator="equal">
      <formula>"未完成"</formula>
    </cfRule>
  </conditionalFormatting>
  <conditionalFormatting sqref="AI204">
    <cfRule type="cellIs" dxfId="0" priority="1485" operator="equal">
      <formula>"未完成"</formula>
    </cfRule>
    <cfRule type="cellIs" dxfId="1" priority="1468" operator="equal">
      <formula>"未完成"</formula>
    </cfRule>
  </conditionalFormatting>
  <conditionalFormatting sqref="AJ204">
    <cfRule type="cellIs" dxfId="0" priority="1553" operator="equal">
      <formula>"未完成"</formula>
    </cfRule>
    <cfRule type="cellIs" dxfId="1" priority="1536" operator="equal">
      <formula>"未完成"</formula>
    </cfRule>
  </conditionalFormatting>
  <conditionalFormatting sqref="AK204">
    <cfRule type="cellIs" dxfId="0" priority="1400" operator="equal">
      <formula>"未完成"</formula>
    </cfRule>
    <cfRule type="cellIs" dxfId="1" priority="1383" operator="equal">
      <formula>"未完成"</formula>
    </cfRule>
  </conditionalFormatting>
  <conditionalFormatting sqref="AN204">
    <cfRule type="cellIs" dxfId="0" priority="1366" operator="equal">
      <formula>"未完成"</formula>
    </cfRule>
    <cfRule type="cellIs" dxfId="1" priority="1349" operator="equal">
      <formula>"未完成"</formula>
    </cfRule>
  </conditionalFormatting>
  <conditionalFormatting sqref="AO204">
    <cfRule type="cellIs" dxfId="0" priority="1587" operator="equal">
      <formula>"未完成"</formula>
    </cfRule>
    <cfRule type="cellIs" dxfId="1" priority="1570" operator="equal">
      <formula>"未完成"</formula>
    </cfRule>
  </conditionalFormatting>
  <conditionalFormatting sqref="AQ204">
    <cfRule type="cellIs" dxfId="0" priority="1434" operator="equal">
      <formula>"未完成"</formula>
    </cfRule>
    <cfRule type="cellIs" dxfId="1" priority="1417" operator="equal">
      <formula>"未完成"</formula>
    </cfRule>
  </conditionalFormatting>
  <conditionalFormatting sqref="AR204">
    <cfRule type="cellIs" dxfId="0" priority="1519" operator="equal">
      <formula>"未完成"</formula>
    </cfRule>
    <cfRule type="cellIs" dxfId="1" priority="1502" operator="equal">
      <formula>"未完成"</formula>
    </cfRule>
  </conditionalFormatting>
  <conditionalFormatting sqref="AS204:AT204">
    <cfRule type="cellIs" dxfId="0" priority="1621" operator="equal">
      <formula>"未完成"</formula>
    </cfRule>
    <cfRule type="cellIs" dxfId="1" priority="1604" operator="equal">
      <formula>"未完成"</formula>
    </cfRule>
  </conditionalFormatting>
  <conditionalFormatting sqref="R205">
    <cfRule type="cellIs" dxfId="0" priority="1191" operator="equal">
      <formula>"欠"</formula>
    </cfRule>
  </conditionalFormatting>
  <conditionalFormatting sqref="T205">
    <cfRule type="cellIs" dxfId="0" priority="1135" operator="equal">
      <formula>"欠"</formula>
    </cfRule>
  </conditionalFormatting>
  <conditionalFormatting sqref="AC205">
    <cfRule type="cellIs" dxfId="0" priority="1279" operator="equal">
      <formula>"未完成"</formula>
    </cfRule>
  </conditionalFormatting>
  <conditionalFormatting sqref="AG205:AH205">
    <cfRule type="cellIs" dxfId="1" priority="1287" operator="equal">
      <formula>"未完成"</formula>
    </cfRule>
    <cfRule type="cellIs" dxfId="0" priority="1295" operator="equal">
      <formula>"未完成"</formula>
    </cfRule>
  </conditionalFormatting>
  <conditionalFormatting sqref="AI205">
    <cfRule type="cellIs" dxfId="1" priority="1199" operator="equal">
      <formula>"未完成"</formula>
    </cfRule>
    <cfRule type="cellIs" dxfId="0" priority="1207" operator="equal">
      <formula>"未完成"</formula>
    </cfRule>
  </conditionalFormatting>
  <conditionalFormatting sqref="AJ205">
    <cfRule type="cellIs" dxfId="1" priority="1231" operator="equal">
      <formula>"未完成"</formula>
    </cfRule>
    <cfRule type="cellIs" dxfId="0" priority="1239" operator="equal">
      <formula>"未完成"</formula>
    </cfRule>
  </conditionalFormatting>
  <conditionalFormatting sqref="AK205">
    <cfRule type="cellIs" dxfId="1" priority="1159" operator="equal">
      <formula>"未完成"</formula>
    </cfRule>
    <cfRule type="cellIs" dxfId="0" priority="1167" operator="equal">
      <formula>"未完成"</formula>
    </cfRule>
  </conditionalFormatting>
  <conditionalFormatting sqref="AN205">
    <cfRule type="cellIs" dxfId="1" priority="1143" operator="equal">
      <formula>"未完成"</formula>
    </cfRule>
    <cfRule type="cellIs" dxfId="0" priority="1151" operator="equal">
      <formula>"未完成"</formula>
    </cfRule>
  </conditionalFormatting>
  <conditionalFormatting sqref="AO205">
    <cfRule type="cellIs" dxfId="1" priority="1247" operator="equal">
      <formula>"未完成"</formula>
    </cfRule>
    <cfRule type="cellIs" dxfId="0" priority="1255" operator="equal">
      <formula>"未完成"</formula>
    </cfRule>
  </conditionalFormatting>
  <conditionalFormatting sqref="AQ205">
    <cfRule type="cellIs" dxfId="1" priority="1175" operator="equal">
      <formula>"未完成"</formula>
    </cfRule>
    <cfRule type="cellIs" dxfId="0" priority="1183" operator="equal">
      <formula>"未完成"</formula>
    </cfRule>
  </conditionalFormatting>
  <conditionalFormatting sqref="AR205">
    <cfRule type="cellIs" dxfId="1" priority="1215" operator="equal">
      <formula>"未完成"</formula>
    </cfRule>
    <cfRule type="cellIs" dxfId="0" priority="1223" operator="equal">
      <formula>"未完成"</formula>
    </cfRule>
  </conditionalFormatting>
  <conditionalFormatting sqref="AS205:AT205">
    <cfRule type="cellIs" dxfId="1" priority="1263" operator="equal">
      <formula>"未完成"</formula>
    </cfRule>
    <cfRule type="cellIs" dxfId="0" priority="1271" operator="equal">
      <formula>"未完成"</formula>
    </cfRule>
  </conditionalFormatting>
  <conditionalFormatting sqref="R206">
    <cfRule type="cellIs" dxfId="0" priority="1450" operator="equal">
      <formula>"欠"</formula>
    </cfRule>
  </conditionalFormatting>
  <conditionalFormatting sqref="T206">
    <cfRule type="cellIs" dxfId="0" priority="1331" operator="equal">
      <formula>"欠"</formula>
    </cfRule>
  </conditionalFormatting>
  <conditionalFormatting sqref="AC206">
    <cfRule type="cellIs" dxfId="0" priority="1637" operator="equal">
      <formula>"未完成"</formula>
    </cfRule>
  </conditionalFormatting>
  <conditionalFormatting sqref="AG206:AH206">
    <cfRule type="cellIs" dxfId="1" priority="1654" operator="equal">
      <formula>"未完成"</formula>
    </cfRule>
    <cfRule type="cellIs" dxfId="0" priority="1671" operator="equal">
      <formula>"未完成"</formula>
    </cfRule>
  </conditionalFormatting>
  <conditionalFormatting sqref="AI206">
    <cfRule type="cellIs" dxfId="1" priority="1467" operator="equal">
      <formula>"未完成"</formula>
    </cfRule>
    <cfRule type="cellIs" dxfId="0" priority="1484" operator="equal">
      <formula>"未完成"</formula>
    </cfRule>
  </conditionalFormatting>
  <conditionalFormatting sqref="AJ206">
    <cfRule type="cellIs" dxfId="1" priority="1535" operator="equal">
      <formula>"未完成"</formula>
    </cfRule>
    <cfRule type="cellIs" dxfId="0" priority="1552" operator="equal">
      <formula>"未完成"</formula>
    </cfRule>
  </conditionalFormatting>
  <conditionalFormatting sqref="AK206">
    <cfRule type="cellIs" dxfId="1" priority="1382" operator="equal">
      <formula>"未完成"</formula>
    </cfRule>
    <cfRule type="cellIs" dxfId="0" priority="1399" operator="equal">
      <formula>"未完成"</formula>
    </cfRule>
  </conditionalFormatting>
  <conditionalFormatting sqref="AN206">
    <cfRule type="cellIs" dxfId="1" priority="1348" operator="equal">
      <formula>"未完成"</formula>
    </cfRule>
    <cfRule type="cellIs" dxfId="0" priority="1365" operator="equal">
      <formula>"未完成"</formula>
    </cfRule>
  </conditionalFormatting>
  <conditionalFormatting sqref="AO206">
    <cfRule type="cellIs" dxfId="1" priority="1569" operator="equal">
      <formula>"未完成"</formula>
    </cfRule>
    <cfRule type="cellIs" dxfId="0" priority="1586" operator="equal">
      <formula>"未完成"</formula>
    </cfRule>
  </conditionalFormatting>
  <conditionalFormatting sqref="AQ206">
    <cfRule type="cellIs" dxfId="1" priority="1416" operator="equal">
      <formula>"未完成"</formula>
    </cfRule>
    <cfRule type="cellIs" dxfId="0" priority="1433" operator="equal">
      <formula>"未完成"</formula>
    </cfRule>
  </conditionalFormatting>
  <conditionalFormatting sqref="AR206">
    <cfRule type="cellIs" dxfId="1" priority="1501" operator="equal">
      <formula>"未完成"</formula>
    </cfRule>
    <cfRule type="cellIs" dxfId="0" priority="1518" operator="equal">
      <formula>"未完成"</formula>
    </cfRule>
  </conditionalFormatting>
  <conditionalFormatting sqref="AS206:AT206">
    <cfRule type="cellIs" dxfId="1" priority="1603" operator="equal">
      <formula>"未完成"</formula>
    </cfRule>
    <cfRule type="cellIs" dxfId="0" priority="1620" operator="equal">
      <formula>"未完成"</formula>
    </cfRule>
  </conditionalFormatting>
  <conditionalFormatting sqref="R207">
    <cfRule type="cellIs" dxfId="0" priority="1449" operator="equal">
      <formula>"欠"</formula>
    </cfRule>
  </conditionalFormatting>
  <conditionalFormatting sqref="T207">
    <cfRule type="cellIs" dxfId="0" priority="1330" operator="equal">
      <formula>"欠"</formula>
    </cfRule>
  </conditionalFormatting>
  <conditionalFormatting sqref="AC207">
    <cfRule type="cellIs" dxfId="0" priority="1636" operator="equal">
      <formula>"未完成"</formula>
    </cfRule>
  </conditionalFormatting>
  <conditionalFormatting sqref="AG207:AH207">
    <cfRule type="cellIs" dxfId="1" priority="1653" operator="equal">
      <formula>"未完成"</formula>
    </cfRule>
    <cfRule type="cellIs" dxfId="0" priority="1670" operator="equal">
      <formula>"未完成"</formula>
    </cfRule>
  </conditionalFormatting>
  <conditionalFormatting sqref="AI207">
    <cfRule type="cellIs" dxfId="1" priority="1466" operator="equal">
      <formula>"未完成"</formula>
    </cfRule>
    <cfRule type="cellIs" dxfId="0" priority="1483" operator="equal">
      <formula>"未完成"</formula>
    </cfRule>
  </conditionalFormatting>
  <conditionalFormatting sqref="AJ207">
    <cfRule type="cellIs" dxfId="1" priority="1534" operator="equal">
      <formula>"未完成"</formula>
    </cfRule>
    <cfRule type="cellIs" dxfId="0" priority="1551" operator="equal">
      <formula>"未完成"</formula>
    </cfRule>
  </conditionalFormatting>
  <conditionalFormatting sqref="AK207">
    <cfRule type="cellIs" dxfId="1" priority="1381" operator="equal">
      <formula>"未完成"</formula>
    </cfRule>
    <cfRule type="cellIs" dxfId="0" priority="1398" operator="equal">
      <formula>"未完成"</formula>
    </cfRule>
  </conditionalFormatting>
  <conditionalFormatting sqref="AN207">
    <cfRule type="cellIs" dxfId="1" priority="1347" operator="equal">
      <formula>"未完成"</formula>
    </cfRule>
    <cfRule type="cellIs" dxfId="0" priority="1364" operator="equal">
      <formula>"未完成"</formula>
    </cfRule>
  </conditionalFormatting>
  <conditionalFormatting sqref="AO207">
    <cfRule type="cellIs" dxfId="1" priority="1568" operator="equal">
      <formula>"未完成"</formula>
    </cfRule>
    <cfRule type="cellIs" dxfId="0" priority="1585" operator="equal">
      <formula>"未完成"</formula>
    </cfRule>
  </conditionalFormatting>
  <conditionalFormatting sqref="AQ207">
    <cfRule type="cellIs" dxfId="1" priority="1415" operator="equal">
      <formula>"未完成"</formula>
    </cfRule>
    <cfRule type="cellIs" dxfId="0" priority="1432" operator="equal">
      <formula>"未完成"</formula>
    </cfRule>
  </conditionalFormatting>
  <conditionalFormatting sqref="AR207">
    <cfRule type="cellIs" dxfId="1" priority="1500" operator="equal">
      <formula>"未完成"</formula>
    </cfRule>
    <cfRule type="cellIs" dxfId="0" priority="1517" operator="equal">
      <formula>"未完成"</formula>
    </cfRule>
  </conditionalFormatting>
  <conditionalFormatting sqref="AS207:AT207">
    <cfRule type="cellIs" dxfId="1" priority="1602" operator="equal">
      <formula>"未完成"</formula>
    </cfRule>
    <cfRule type="cellIs" dxfId="0" priority="1619" operator="equal">
      <formula>"未完成"</formula>
    </cfRule>
  </conditionalFormatting>
  <conditionalFormatting sqref="R208">
    <cfRule type="cellIs" dxfId="0" priority="1448" operator="equal">
      <formula>"欠"</formula>
    </cfRule>
  </conditionalFormatting>
  <conditionalFormatting sqref="T208">
    <cfRule type="cellIs" dxfId="0" priority="1329" operator="equal">
      <formula>"欠"</formula>
    </cfRule>
  </conditionalFormatting>
  <conditionalFormatting sqref="AC208">
    <cfRule type="cellIs" dxfId="0" priority="1635" operator="equal">
      <formula>"未完成"</formula>
    </cfRule>
  </conditionalFormatting>
  <conditionalFormatting sqref="AG208:AH208">
    <cfRule type="cellIs" dxfId="1" priority="1652" operator="equal">
      <formula>"未完成"</formula>
    </cfRule>
    <cfRule type="cellIs" dxfId="0" priority="1669" operator="equal">
      <formula>"未完成"</formula>
    </cfRule>
  </conditionalFormatting>
  <conditionalFormatting sqref="AI208">
    <cfRule type="cellIs" dxfId="1" priority="1465" operator="equal">
      <formula>"未完成"</formula>
    </cfRule>
    <cfRule type="cellIs" dxfId="0" priority="1482" operator="equal">
      <formula>"未完成"</formula>
    </cfRule>
  </conditionalFormatting>
  <conditionalFormatting sqref="AJ208">
    <cfRule type="cellIs" dxfId="1" priority="1533" operator="equal">
      <formula>"未完成"</formula>
    </cfRule>
    <cfRule type="cellIs" dxfId="0" priority="1550" operator="equal">
      <formula>"未完成"</formula>
    </cfRule>
  </conditionalFormatting>
  <conditionalFormatting sqref="AK208">
    <cfRule type="cellIs" dxfId="1" priority="1380" operator="equal">
      <formula>"未完成"</formula>
    </cfRule>
    <cfRule type="cellIs" dxfId="0" priority="1397" operator="equal">
      <formula>"未完成"</formula>
    </cfRule>
  </conditionalFormatting>
  <conditionalFormatting sqref="AN208">
    <cfRule type="cellIs" dxfId="1" priority="1346" operator="equal">
      <formula>"未完成"</formula>
    </cfRule>
    <cfRule type="cellIs" dxfId="0" priority="1363" operator="equal">
      <formula>"未完成"</formula>
    </cfRule>
  </conditionalFormatting>
  <conditionalFormatting sqref="AO208">
    <cfRule type="cellIs" dxfId="1" priority="1567" operator="equal">
      <formula>"未完成"</formula>
    </cfRule>
    <cfRule type="cellIs" dxfId="0" priority="1584" operator="equal">
      <formula>"未完成"</formula>
    </cfRule>
  </conditionalFormatting>
  <conditionalFormatting sqref="AQ208">
    <cfRule type="cellIs" dxfId="1" priority="1414" operator="equal">
      <formula>"未完成"</formula>
    </cfRule>
    <cfRule type="cellIs" dxfId="0" priority="1431" operator="equal">
      <formula>"未完成"</formula>
    </cfRule>
  </conditionalFormatting>
  <conditionalFormatting sqref="AR208">
    <cfRule type="cellIs" dxfId="1" priority="1499" operator="equal">
      <formula>"未完成"</formula>
    </cfRule>
    <cfRule type="cellIs" dxfId="0" priority="1516" operator="equal">
      <formula>"未完成"</formula>
    </cfRule>
  </conditionalFormatting>
  <conditionalFormatting sqref="AS208:AT208">
    <cfRule type="cellIs" dxfId="1" priority="1601" operator="equal">
      <formula>"未完成"</formula>
    </cfRule>
    <cfRule type="cellIs" dxfId="0" priority="1618" operator="equal">
      <formula>"未完成"</formula>
    </cfRule>
  </conditionalFormatting>
  <conditionalFormatting sqref="R209">
    <cfRule type="cellIs" dxfId="0" priority="1190" operator="equal">
      <formula>"欠"</formula>
    </cfRule>
  </conditionalFormatting>
  <conditionalFormatting sqref="T209">
    <cfRule type="cellIs" dxfId="0" priority="1134" operator="equal">
      <formula>"欠"</formula>
    </cfRule>
  </conditionalFormatting>
  <conditionalFormatting sqref="AC209">
    <cfRule type="cellIs" dxfId="0" priority="1278" operator="equal">
      <formula>"未完成"</formula>
    </cfRule>
  </conditionalFormatting>
  <conditionalFormatting sqref="AG209:AH209">
    <cfRule type="cellIs" dxfId="0" priority="1294" operator="equal">
      <formula>"未完成"</formula>
    </cfRule>
    <cfRule type="cellIs" dxfId="1" priority="1286" operator="equal">
      <formula>"未完成"</formula>
    </cfRule>
  </conditionalFormatting>
  <conditionalFormatting sqref="AI209">
    <cfRule type="cellIs" dxfId="0" priority="1206" operator="equal">
      <formula>"未完成"</formula>
    </cfRule>
    <cfRule type="cellIs" dxfId="1" priority="1198" operator="equal">
      <formula>"未完成"</formula>
    </cfRule>
  </conditionalFormatting>
  <conditionalFormatting sqref="AJ209">
    <cfRule type="cellIs" dxfId="0" priority="1238" operator="equal">
      <formula>"未完成"</formula>
    </cfRule>
    <cfRule type="cellIs" dxfId="1" priority="1230" operator="equal">
      <formula>"未完成"</formula>
    </cfRule>
  </conditionalFormatting>
  <conditionalFormatting sqref="AK209">
    <cfRule type="cellIs" dxfId="0" priority="1166" operator="equal">
      <formula>"未完成"</formula>
    </cfRule>
    <cfRule type="cellIs" dxfId="1" priority="1158" operator="equal">
      <formula>"未完成"</formula>
    </cfRule>
  </conditionalFormatting>
  <conditionalFormatting sqref="AN209">
    <cfRule type="cellIs" dxfId="0" priority="1150" operator="equal">
      <formula>"未完成"</formula>
    </cfRule>
    <cfRule type="cellIs" dxfId="1" priority="1142" operator="equal">
      <formula>"未完成"</formula>
    </cfRule>
  </conditionalFormatting>
  <conditionalFormatting sqref="AO209">
    <cfRule type="cellIs" dxfId="0" priority="1254" operator="equal">
      <formula>"未完成"</formula>
    </cfRule>
    <cfRule type="cellIs" dxfId="1" priority="1246" operator="equal">
      <formula>"未完成"</formula>
    </cfRule>
  </conditionalFormatting>
  <conditionalFormatting sqref="AQ209">
    <cfRule type="cellIs" dxfId="0" priority="1182" operator="equal">
      <formula>"未完成"</formula>
    </cfRule>
    <cfRule type="cellIs" dxfId="1" priority="1174" operator="equal">
      <formula>"未完成"</formula>
    </cfRule>
  </conditionalFormatting>
  <conditionalFormatting sqref="AR209">
    <cfRule type="cellIs" dxfId="0" priority="1222" operator="equal">
      <formula>"未完成"</formula>
    </cfRule>
    <cfRule type="cellIs" dxfId="1" priority="1214" operator="equal">
      <formula>"未完成"</formula>
    </cfRule>
  </conditionalFormatting>
  <conditionalFormatting sqref="AS209:AT209">
    <cfRule type="cellIs" dxfId="0" priority="1270" operator="equal">
      <formula>"未完成"</formula>
    </cfRule>
    <cfRule type="cellIs" dxfId="1" priority="1262" operator="equal">
      <formula>"未完成"</formula>
    </cfRule>
  </conditionalFormatting>
  <conditionalFormatting sqref="R210">
    <cfRule type="cellIs" dxfId="0" priority="1189" operator="equal">
      <formula>"欠"</formula>
    </cfRule>
  </conditionalFormatting>
  <conditionalFormatting sqref="T210">
    <cfRule type="cellIs" dxfId="0" priority="1133" operator="equal">
      <formula>"欠"</formula>
    </cfRule>
  </conditionalFormatting>
  <conditionalFormatting sqref="AC210">
    <cfRule type="cellIs" dxfId="0" priority="1277" operator="equal">
      <formula>"未完成"</formula>
    </cfRule>
  </conditionalFormatting>
  <conditionalFormatting sqref="AG210:AH210">
    <cfRule type="cellIs" dxfId="0" priority="1293" operator="equal">
      <formula>"未完成"</formula>
    </cfRule>
    <cfRule type="cellIs" dxfId="1" priority="1285" operator="equal">
      <formula>"未完成"</formula>
    </cfRule>
  </conditionalFormatting>
  <conditionalFormatting sqref="AI210">
    <cfRule type="cellIs" dxfId="0" priority="1205" operator="equal">
      <formula>"未完成"</formula>
    </cfRule>
    <cfRule type="cellIs" dxfId="1" priority="1197" operator="equal">
      <formula>"未完成"</formula>
    </cfRule>
  </conditionalFormatting>
  <conditionalFormatting sqref="AJ210">
    <cfRule type="cellIs" dxfId="0" priority="1237" operator="equal">
      <formula>"未完成"</formula>
    </cfRule>
    <cfRule type="cellIs" dxfId="1" priority="1229" operator="equal">
      <formula>"未完成"</formula>
    </cfRule>
  </conditionalFormatting>
  <conditionalFormatting sqref="AK210">
    <cfRule type="cellIs" dxfId="0" priority="1165" operator="equal">
      <formula>"未完成"</formula>
    </cfRule>
    <cfRule type="cellIs" dxfId="1" priority="1157" operator="equal">
      <formula>"未完成"</formula>
    </cfRule>
  </conditionalFormatting>
  <conditionalFormatting sqref="AN210">
    <cfRule type="cellIs" dxfId="0" priority="1149" operator="equal">
      <formula>"未完成"</formula>
    </cfRule>
    <cfRule type="cellIs" dxfId="1" priority="1141" operator="equal">
      <formula>"未完成"</formula>
    </cfRule>
  </conditionalFormatting>
  <conditionalFormatting sqref="AO210">
    <cfRule type="cellIs" dxfId="0" priority="1253" operator="equal">
      <formula>"未完成"</formula>
    </cfRule>
    <cfRule type="cellIs" dxfId="1" priority="1245" operator="equal">
      <formula>"未完成"</formula>
    </cfRule>
  </conditionalFormatting>
  <conditionalFormatting sqref="AQ210">
    <cfRule type="cellIs" dxfId="0" priority="1181" operator="equal">
      <formula>"未完成"</formula>
    </cfRule>
    <cfRule type="cellIs" dxfId="1" priority="1173" operator="equal">
      <formula>"未完成"</formula>
    </cfRule>
  </conditionalFormatting>
  <conditionalFormatting sqref="AR210">
    <cfRule type="cellIs" dxfId="0" priority="1221" operator="equal">
      <formula>"未完成"</formula>
    </cfRule>
    <cfRule type="cellIs" dxfId="1" priority="1213" operator="equal">
      <formula>"未完成"</formula>
    </cfRule>
  </conditionalFormatting>
  <conditionalFormatting sqref="AS210:AT210">
    <cfRule type="cellIs" dxfId="0" priority="1269" operator="equal">
      <formula>"未完成"</formula>
    </cfRule>
    <cfRule type="cellIs" dxfId="1" priority="1261" operator="equal">
      <formula>"未完成"</formula>
    </cfRule>
  </conditionalFormatting>
  <conditionalFormatting sqref="R211">
    <cfRule type="cellIs" dxfId="0" priority="1188" operator="equal">
      <formula>"欠"</formula>
    </cfRule>
  </conditionalFormatting>
  <conditionalFormatting sqref="T211">
    <cfRule type="cellIs" dxfId="0" priority="1132" operator="equal">
      <formula>"欠"</formula>
    </cfRule>
  </conditionalFormatting>
  <conditionalFormatting sqref="AC211">
    <cfRule type="cellIs" dxfId="0" priority="1276" operator="equal">
      <formula>"未完成"</formula>
    </cfRule>
  </conditionalFormatting>
  <conditionalFormatting sqref="AG211:AH211">
    <cfRule type="cellIs" dxfId="0" priority="1292" operator="equal">
      <formula>"未完成"</formula>
    </cfRule>
    <cfRule type="cellIs" dxfId="1" priority="1284" operator="equal">
      <formula>"未完成"</formula>
    </cfRule>
  </conditionalFormatting>
  <conditionalFormatting sqref="AI211">
    <cfRule type="cellIs" dxfId="0" priority="1204" operator="equal">
      <formula>"未完成"</formula>
    </cfRule>
    <cfRule type="cellIs" dxfId="1" priority="1196" operator="equal">
      <formula>"未完成"</formula>
    </cfRule>
  </conditionalFormatting>
  <conditionalFormatting sqref="AJ211">
    <cfRule type="cellIs" dxfId="0" priority="1236" operator="equal">
      <formula>"未完成"</formula>
    </cfRule>
    <cfRule type="cellIs" dxfId="1" priority="1228" operator="equal">
      <formula>"未完成"</formula>
    </cfRule>
  </conditionalFormatting>
  <conditionalFormatting sqref="AK211">
    <cfRule type="cellIs" dxfId="0" priority="1164" operator="equal">
      <formula>"未完成"</formula>
    </cfRule>
    <cfRule type="cellIs" dxfId="1" priority="1156" operator="equal">
      <formula>"未完成"</formula>
    </cfRule>
  </conditionalFormatting>
  <conditionalFormatting sqref="AN211">
    <cfRule type="cellIs" dxfId="0" priority="1148" operator="equal">
      <formula>"未完成"</formula>
    </cfRule>
    <cfRule type="cellIs" dxfId="1" priority="1140" operator="equal">
      <formula>"未完成"</formula>
    </cfRule>
  </conditionalFormatting>
  <conditionalFormatting sqref="AO211">
    <cfRule type="cellIs" dxfId="0" priority="1252" operator="equal">
      <formula>"未完成"</formula>
    </cfRule>
    <cfRule type="cellIs" dxfId="1" priority="1244" operator="equal">
      <formula>"未完成"</formula>
    </cfRule>
  </conditionalFormatting>
  <conditionalFormatting sqref="AQ211">
    <cfRule type="cellIs" dxfId="0" priority="1180" operator="equal">
      <formula>"未完成"</formula>
    </cfRule>
    <cfRule type="cellIs" dxfId="1" priority="1172" operator="equal">
      <formula>"未完成"</formula>
    </cfRule>
  </conditionalFormatting>
  <conditionalFormatting sqref="AR211">
    <cfRule type="cellIs" dxfId="0" priority="1220" operator="equal">
      <formula>"未完成"</formula>
    </cfRule>
    <cfRule type="cellIs" dxfId="1" priority="1212" operator="equal">
      <formula>"未完成"</formula>
    </cfRule>
  </conditionalFormatting>
  <conditionalFormatting sqref="AS211:AT211">
    <cfRule type="cellIs" dxfId="0" priority="1268" operator="equal">
      <formula>"未完成"</formula>
    </cfRule>
    <cfRule type="cellIs" dxfId="1" priority="1260" operator="equal">
      <formula>"未完成"</formula>
    </cfRule>
  </conditionalFormatting>
  <conditionalFormatting sqref="R212">
    <cfRule type="cellIs" dxfId="0" priority="1187" operator="equal">
      <formula>"欠"</formula>
    </cfRule>
  </conditionalFormatting>
  <conditionalFormatting sqref="T212">
    <cfRule type="cellIs" dxfId="0" priority="1131" operator="equal">
      <formula>"欠"</formula>
    </cfRule>
  </conditionalFormatting>
  <conditionalFormatting sqref="AC212">
    <cfRule type="cellIs" dxfId="0" priority="1275" operator="equal">
      <formula>"未完成"</formula>
    </cfRule>
  </conditionalFormatting>
  <conditionalFormatting sqref="AG212:AH212">
    <cfRule type="cellIs" dxfId="0" priority="1291" operator="equal">
      <formula>"未完成"</formula>
    </cfRule>
    <cfRule type="cellIs" dxfId="1" priority="1283" operator="equal">
      <formula>"未完成"</formula>
    </cfRule>
  </conditionalFormatting>
  <conditionalFormatting sqref="AI212">
    <cfRule type="cellIs" dxfId="0" priority="1203" operator="equal">
      <formula>"未完成"</formula>
    </cfRule>
    <cfRule type="cellIs" dxfId="1" priority="1195" operator="equal">
      <formula>"未完成"</formula>
    </cfRule>
  </conditionalFormatting>
  <conditionalFormatting sqref="AJ212">
    <cfRule type="cellIs" dxfId="0" priority="1235" operator="equal">
      <formula>"未完成"</formula>
    </cfRule>
    <cfRule type="cellIs" dxfId="1" priority="1227" operator="equal">
      <formula>"未完成"</formula>
    </cfRule>
  </conditionalFormatting>
  <conditionalFormatting sqref="AK212">
    <cfRule type="cellIs" dxfId="0" priority="1163" operator="equal">
      <formula>"未完成"</formula>
    </cfRule>
    <cfRule type="cellIs" dxfId="1" priority="1155" operator="equal">
      <formula>"未完成"</formula>
    </cfRule>
  </conditionalFormatting>
  <conditionalFormatting sqref="AN212">
    <cfRule type="cellIs" dxfId="0" priority="1147" operator="equal">
      <formula>"未完成"</formula>
    </cfRule>
    <cfRule type="cellIs" dxfId="1" priority="1139" operator="equal">
      <formula>"未完成"</formula>
    </cfRule>
  </conditionalFormatting>
  <conditionalFormatting sqref="AO212">
    <cfRule type="cellIs" dxfId="0" priority="1251" operator="equal">
      <formula>"未完成"</formula>
    </cfRule>
    <cfRule type="cellIs" dxfId="1" priority="1243" operator="equal">
      <formula>"未完成"</formula>
    </cfRule>
  </conditionalFormatting>
  <conditionalFormatting sqref="AQ212">
    <cfRule type="cellIs" dxfId="0" priority="1179" operator="equal">
      <formula>"未完成"</formula>
    </cfRule>
    <cfRule type="cellIs" dxfId="1" priority="1171" operator="equal">
      <formula>"未完成"</formula>
    </cfRule>
  </conditionalFormatting>
  <conditionalFormatting sqref="AR212">
    <cfRule type="cellIs" dxfId="0" priority="1219" operator="equal">
      <formula>"未完成"</formula>
    </cfRule>
    <cfRule type="cellIs" dxfId="1" priority="1211" operator="equal">
      <formula>"未完成"</formula>
    </cfRule>
  </conditionalFormatting>
  <conditionalFormatting sqref="AS212:AT212">
    <cfRule type="cellIs" dxfId="0" priority="1267" operator="equal">
      <formula>"未完成"</formula>
    </cfRule>
    <cfRule type="cellIs" dxfId="1" priority="1259" operator="equal">
      <formula>"未完成"</formula>
    </cfRule>
  </conditionalFormatting>
  <conditionalFormatting sqref="R213">
    <cfRule type="cellIs" dxfId="0" priority="1186" operator="equal">
      <formula>"欠"</formula>
    </cfRule>
  </conditionalFormatting>
  <conditionalFormatting sqref="T213">
    <cfRule type="cellIs" dxfId="0" priority="1130" operator="equal">
      <formula>"欠"</formula>
    </cfRule>
  </conditionalFormatting>
  <conditionalFormatting sqref="AC213">
    <cfRule type="cellIs" dxfId="0" priority="1274" operator="equal">
      <formula>"未完成"</formula>
    </cfRule>
  </conditionalFormatting>
  <conditionalFormatting sqref="AG213:AH213">
    <cfRule type="cellIs" dxfId="0" priority="1290" operator="equal">
      <formula>"未完成"</formula>
    </cfRule>
    <cfRule type="cellIs" dxfId="1" priority="1282" operator="equal">
      <formula>"未完成"</formula>
    </cfRule>
  </conditionalFormatting>
  <conditionalFormatting sqref="AI213">
    <cfRule type="cellIs" dxfId="0" priority="1202" operator="equal">
      <formula>"未完成"</formula>
    </cfRule>
    <cfRule type="cellIs" dxfId="1" priority="1194" operator="equal">
      <formula>"未完成"</formula>
    </cfRule>
  </conditionalFormatting>
  <conditionalFormatting sqref="AJ213">
    <cfRule type="cellIs" dxfId="0" priority="1234" operator="equal">
      <formula>"未完成"</formula>
    </cfRule>
    <cfRule type="cellIs" dxfId="1" priority="1226" operator="equal">
      <formula>"未完成"</formula>
    </cfRule>
  </conditionalFormatting>
  <conditionalFormatting sqref="AK213">
    <cfRule type="cellIs" dxfId="0" priority="1162" operator="equal">
      <formula>"未完成"</formula>
    </cfRule>
    <cfRule type="cellIs" dxfId="1" priority="1154" operator="equal">
      <formula>"未完成"</formula>
    </cfRule>
  </conditionalFormatting>
  <conditionalFormatting sqref="AN213">
    <cfRule type="cellIs" dxfId="0" priority="1146" operator="equal">
      <formula>"未完成"</formula>
    </cfRule>
    <cfRule type="cellIs" dxfId="1" priority="1138" operator="equal">
      <formula>"未完成"</formula>
    </cfRule>
  </conditionalFormatting>
  <conditionalFormatting sqref="AO213">
    <cfRule type="cellIs" dxfId="0" priority="1250" operator="equal">
      <formula>"未完成"</formula>
    </cfRule>
    <cfRule type="cellIs" dxfId="1" priority="1242" operator="equal">
      <formula>"未完成"</formula>
    </cfRule>
  </conditionalFormatting>
  <conditionalFormatting sqref="AQ213">
    <cfRule type="cellIs" dxfId="0" priority="1178" operator="equal">
      <formula>"未完成"</formula>
    </cfRule>
    <cfRule type="cellIs" dxfId="1" priority="1170" operator="equal">
      <formula>"未完成"</formula>
    </cfRule>
  </conditionalFormatting>
  <conditionalFormatting sqref="AR213">
    <cfRule type="cellIs" dxfId="0" priority="1218" operator="equal">
      <formula>"未完成"</formula>
    </cfRule>
    <cfRule type="cellIs" dxfId="1" priority="1210" operator="equal">
      <formula>"未完成"</formula>
    </cfRule>
  </conditionalFormatting>
  <conditionalFormatting sqref="AS213:AT213">
    <cfRule type="cellIs" dxfId="0" priority="1266" operator="equal">
      <formula>"未完成"</formula>
    </cfRule>
    <cfRule type="cellIs" dxfId="1" priority="1258" operator="equal">
      <formula>"未完成"</formula>
    </cfRule>
  </conditionalFormatting>
  <conditionalFormatting sqref="R214">
    <cfRule type="cellIs" dxfId="0" priority="1185" operator="equal">
      <formula>"欠"</formula>
    </cfRule>
  </conditionalFormatting>
  <conditionalFormatting sqref="T214">
    <cfRule type="cellIs" dxfId="0" priority="1129" operator="equal">
      <formula>"欠"</formula>
    </cfRule>
  </conditionalFormatting>
  <conditionalFormatting sqref="AC214">
    <cfRule type="cellIs" dxfId="0" priority="1273" operator="equal">
      <formula>"未完成"</formula>
    </cfRule>
  </conditionalFormatting>
  <conditionalFormatting sqref="AG214:AH214">
    <cfRule type="cellIs" dxfId="0" priority="1289" operator="equal">
      <formula>"未完成"</formula>
    </cfRule>
    <cfRule type="cellIs" dxfId="1" priority="1281" operator="equal">
      <formula>"未完成"</formula>
    </cfRule>
  </conditionalFormatting>
  <conditionalFormatting sqref="AI214">
    <cfRule type="cellIs" dxfId="0" priority="1201" operator="equal">
      <formula>"未完成"</formula>
    </cfRule>
    <cfRule type="cellIs" dxfId="1" priority="1193" operator="equal">
      <formula>"未完成"</formula>
    </cfRule>
  </conditionalFormatting>
  <conditionalFormatting sqref="AJ214">
    <cfRule type="cellIs" dxfId="0" priority="1233" operator="equal">
      <formula>"未完成"</formula>
    </cfRule>
    <cfRule type="cellIs" dxfId="1" priority="1225" operator="equal">
      <formula>"未完成"</formula>
    </cfRule>
  </conditionalFormatting>
  <conditionalFormatting sqref="AK214">
    <cfRule type="cellIs" dxfId="0" priority="1161" operator="equal">
      <formula>"未完成"</formula>
    </cfRule>
    <cfRule type="cellIs" dxfId="1" priority="1153" operator="equal">
      <formula>"未完成"</formula>
    </cfRule>
  </conditionalFormatting>
  <conditionalFormatting sqref="AN214">
    <cfRule type="cellIs" dxfId="0" priority="1145" operator="equal">
      <formula>"未完成"</formula>
    </cfRule>
    <cfRule type="cellIs" dxfId="1" priority="1137" operator="equal">
      <formula>"未完成"</formula>
    </cfRule>
  </conditionalFormatting>
  <conditionalFormatting sqref="AO214">
    <cfRule type="cellIs" dxfId="0" priority="1249" operator="equal">
      <formula>"未完成"</formula>
    </cfRule>
    <cfRule type="cellIs" dxfId="1" priority="1241" operator="equal">
      <formula>"未完成"</formula>
    </cfRule>
  </conditionalFormatting>
  <conditionalFormatting sqref="AQ214">
    <cfRule type="cellIs" dxfId="0" priority="1177" operator="equal">
      <formula>"未完成"</formula>
    </cfRule>
    <cfRule type="cellIs" dxfId="1" priority="1169" operator="equal">
      <formula>"未完成"</formula>
    </cfRule>
  </conditionalFormatting>
  <conditionalFormatting sqref="AR214">
    <cfRule type="cellIs" dxfId="0" priority="1217" operator="equal">
      <formula>"未完成"</formula>
    </cfRule>
    <cfRule type="cellIs" dxfId="1" priority="1209" operator="equal">
      <formula>"未完成"</formula>
    </cfRule>
  </conditionalFormatting>
  <conditionalFormatting sqref="AS214:AT214">
    <cfRule type="cellIs" dxfId="0" priority="1265" operator="equal">
      <formula>"未完成"</formula>
    </cfRule>
    <cfRule type="cellIs" dxfId="1" priority="1257" operator="equal">
      <formula>"未完成"</formula>
    </cfRule>
  </conditionalFormatting>
  <conditionalFormatting sqref="R215">
    <cfRule type="cellIs" dxfId="0" priority="1184" operator="equal">
      <formula>"欠"</formula>
    </cfRule>
  </conditionalFormatting>
  <conditionalFormatting sqref="T215">
    <cfRule type="cellIs" dxfId="0" priority="1128" operator="equal">
      <formula>"欠"</formula>
    </cfRule>
  </conditionalFormatting>
  <conditionalFormatting sqref="AC215">
    <cfRule type="cellIs" dxfId="0" priority="1272" operator="equal">
      <formula>"未完成"</formula>
    </cfRule>
  </conditionalFormatting>
  <conditionalFormatting sqref="AG215:AH215">
    <cfRule type="cellIs" dxfId="0" priority="1288" operator="equal">
      <formula>"未完成"</formula>
    </cfRule>
    <cfRule type="cellIs" dxfId="1" priority="1280" operator="equal">
      <formula>"未完成"</formula>
    </cfRule>
  </conditionalFormatting>
  <conditionalFormatting sqref="AI215">
    <cfRule type="cellIs" dxfId="0" priority="1200" operator="equal">
      <formula>"未完成"</formula>
    </cfRule>
    <cfRule type="cellIs" dxfId="1" priority="1192" operator="equal">
      <formula>"未完成"</formula>
    </cfRule>
  </conditionalFormatting>
  <conditionalFormatting sqref="AJ215">
    <cfRule type="cellIs" dxfId="0" priority="1232" operator="equal">
      <formula>"未完成"</formula>
    </cfRule>
    <cfRule type="cellIs" dxfId="1" priority="1224" operator="equal">
      <formula>"未完成"</formula>
    </cfRule>
  </conditionalFormatting>
  <conditionalFormatting sqref="AK215">
    <cfRule type="cellIs" dxfId="0" priority="1160" operator="equal">
      <formula>"未完成"</formula>
    </cfRule>
    <cfRule type="cellIs" dxfId="1" priority="1152" operator="equal">
      <formula>"未完成"</formula>
    </cfRule>
  </conditionalFormatting>
  <conditionalFormatting sqref="AN215">
    <cfRule type="cellIs" dxfId="0" priority="1144" operator="equal">
      <formula>"未完成"</formula>
    </cfRule>
    <cfRule type="cellIs" dxfId="1" priority="1136" operator="equal">
      <formula>"未完成"</formula>
    </cfRule>
  </conditionalFormatting>
  <conditionalFormatting sqref="AO215">
    <cfRule type="cellIs" dxfId="0" priority="1248" operator="equal">
      <formula>"未完成"</formula>
    </cfRule>
    <cfRule type="cellIs" dxfId="1" priority="1240" operator="equal">
      <formula>"未完成"</formula>
    </cfRule>
  </conditionalFormatting>
  <conditionalFormatting sqref="AQ215">
    <cfRule type="cellIs" dxfId="0" priority="1176" operator="equal">
      <formula>"未完成"</formula>
    </cfRule>
    <cfRule type="cellIs" dxfId="1" priority="1168" operator="equal">
      <formula>"未完成"</formula>
    </cfRule>
  </conditionalFormatting>
  <conditionalFormatting sqref="AR215">
    <cfRule type="cellIs" dxfId="0" priority="1216" operator="equal">
      <formula>"未完成"</formula>
    </cfRule>
    <cfRule type="cellIs" dxfId="1" priority="1208" operator="equal">
      <formula>"未完成"</formula>
    </cfRule>
  </conditionalFormatting>
  <conditionalFormatting sqref="AS215:AT215">
    <cfRule type="cellIs" dxfId="0" priority="1264" operator="equal">
      <formula>"未完成"</formula>
    </cfRule>
    <cfRule type="cellIs" dxfId="1" priority="1256" operator="equal">
      <formula>"未完成"</formula>
    </cfRule>
  </conditionalFormatting>
  <conditionalFormatting sqref="AC216">
    <cfRule type="cellIs" dxfId="0" priority="2182" operator="equal">
      <formula>"未完成"</formula>
    </cfRule>
  </conditionalFormatting>
  <conditionalFormatting sqref="AG216:AH216">
    <cfRule type="cellIs" dxfId="1" priority="2160" operator="equal">
      <formula>"未完成"</formula>
    </cfRule>
    <cfRule type="cellIs" dxfId="0" priority="2171" operator="equal">
      <formula>"未完成"</formula>
    </cfRule>
  </conditionalFormatting>
  <conditionalFormatting sqref="AI216">
    <cfRule type="cellIs" dxfId="1" priority="2072" operator="equal">
      <formula>"未完成"</formula>
    </cfRule>
    <cfRule type="cellIs" dxfId="0" priority="2083" operator="equal">
      <formula>"未完成"</formula>
    </cfRule>
  </conditionalFormatting>
  <conditionalFormatting sqref="AJ216">
    <cfRule type="cellIs" dxfId="1" priority="2116" operator="equal">
      <formula>"未完成"</formula>
    </cfRule>
    <cfRule type="cellIs" dxfId="0" priority="2127" operator="equal">
      <formula>"未完成"</formula>
    </cfRule>
  </conditionalFormatting>
  <conditionalFormatting sqref="AN216:AO216">
    <cfRule type="cellIs" dxfId="1" priority="2050" operator="equal">
      <formula>"未完成"</formula>
    </cfRule>
    <cfRule type="cellIs" dxfId="0" priority="2061" operator="equal">
      <formula>"未完成"</formula>
    </cfRule>
  </conditionalFormatting>
  <conditionalFormatting sqref="AQ216">
    <cfRule type="cellIs" dxfId="1" priority="2028" operator="equal">
      <formula>"未完成"</formula>
    </cfRule>
    <cfRule type="cellIs" dxfId="0" priority="2039" operator="equal">
      <formula>"未完成"</formula>
    </cfRule>
  </conditionalFormatting>
  <conditionalFormatting sqref="AC217">
    <cfRule type="cellIs" dxfId="0" priority="2181" operator="equal">
      <formula>"未完成"</formula>
    </cfRule>
  </conditionalFormatting>
  <conditionalFormatting sqref="AG217">
    <cfRule type="cellIs" dxfId="1" priority="1727" operator="equal">
      <formula>"未完成"</formula>
    </cfRule>
    <cfRule type="cellIs" dxfId="0" priority="1728" operator="equal">
      <formula>"未完成"</formula>
    </cfRule>
  </conditionalFormatting>
  <conditionalFormatting sqref="AH217">
    <cfRule type="cellIs" dxfId="1" priority="2159" operator="equal">
      <formula>"未完成"</formula>
    </cfRule>
    <cfRule type="cellIs" dxfId="0" priority="2170" operator="equal">
      <formula>"未完成"</formula>
    </cfRule>
  </conditionalFormatting>
  <conditionalFormatting sqref="AI217">
    <cfRule type="cellIs" dxfId="1" priority="2071" operator="equal">
      <formula>"未完成"</formula>
    </cfRule>
    <cfRule type="cellIs" dxfId="0" priority="2082" operator="equal">
      <formula>"未完成"</formula>
    </cfRule>
  </conditionalFormatting>
  <conditionalFormatting sqref="AJ217">
    <cfRule type="cellIs" dxfId="1" priority="2115" operator="equal">
      <formula>"未完成"</formula>
    </cfRule>
    <cfRule type="cellIs" dxfId="0" priority="2126" operator="equal">
      <formula>"未完成"</formula>
    </cfRule>
  </conditionalFormatting>
  <conditionalFormatting sqref="AN217:AO217">
    <cfRule type="cellIs" dxfId="1" priority="2049" operator="equal">
      <formula>"未完成"</formula>
    </cfRule>
    <cfRule type="cellIs" dxfId="0" priority="2060" operator="equal">
      <formula>"未完成"</formula>
    </cfRule>
  </conditionalFormatting>
  <conditionalFormatting sqref="AQ217">
    <cfRule type="cellIs" dxfId="1" priority="2027" operator="equal">
      <formula>"未完成"</formula>
    </cfRule>
    <cfRule type="cellIs" dxfId="0" priority="2038" operator="equal">
      <formula>"未完成"</formula>
    </cfRule>
  </conditionalFormatting>
  <conditionalFormatting sqref="AC218">
    <cfRule type="cellIs" dxfId="0" priority="2180" operator="equal">
      <formula>"未完成"</formula>
    </cfRule>
  </conditionalFormatting>
  <conditionalFormatting sqref="AG218">
    <cfRule type="cellIs" dxfId="1" priority="1725" operator="equal">
      <formula>"未完成"</formula>
    </cfRule>
    <cfRule type="cellIs" dxfId="0" priority="1726" operator="equal">
      <formula>"未完成"</formula>
    </cfRule>
  </conditionalFormatting>
  <conditionalFormatting sqref="AH218">
    <cfRule type="cellIs" dxfId="1" priority="2158" operator="equal">
      <formula>"未完成"</formula>
    </cfRule>
    <cfRule type="cellIs" dxfId="0" priority="2169" operator="equal">
      <formula>"未完成"</formula>
    </cfRule>
  </conditionalFormatting>
  <conditionalFormatting sqref="AJ218">
    <cfRule type="cellIs" dxfId="1" priority="2114" operator="equal">
      <formula>"未完成"</formula>
    </cfRule>
    <cfRule type="cellIs" dxfId="0" priority="2125" operator="equal">
      <formula>"未完成"</formula>
    </cfRule>
  </conditionalFormatting>
  <conditionalFormatting sqref="AN218:AO218">
    <cfRule type="cellIs" dxfId="1" priority="2048" operator="equal">
      <formula>"未完成"</formula>
    </cfRule>
    <cfRule type="cellIs" dxfId="0" priority="2059" operator="equal">
      <formula>"未完成"</formula>
    </cfRule>
  </conditionalFormatting>
  <conditionalFormatting sqref="AQ218">
    <cfRule type="cellIs" dxfId="1" priority="2026" operator="equal">
      <formula>"未完成"</formula>
    </cfRule>
    <cfRule type="cellIs" dxfId="0" priority="2037" operator="equal">
      <formula>"未完成"</formula>
    </cfRule>
  </conditionalFormatting>
  <conditionalFormatting sqref="R223">
    <cfRule type="cellIs" dxfId="0" priority="2234" operator="equal">
      <formula>"欠"</formula>
    </cfRule>
  </conditionalFormatting>
  <conditionalFormatting sqref="AC223">
    <cfRule type="cellIs" dxfId="0" priority="2250" operator="equal">
      <formula>"未完成"</formula>
    </cfRule>
  </conditionalFormatting>
  <conditionalFormatting sqref="AG223:AH223">
    <cfRule type="cellIs" dxfId="1" priority="2248" operator="equal">
      <formula>"未完成"</formula>
    </cfRule>
    <cfRule type="cellIs" dxfId="0" priority="2249" operator="equal">
      <formula>"未完成"</formula>
    </cfRule>
  </conditionalFormatting>
  <conditionalFormatting sqref="AJ223">
    <cfRule type="cellIs" dxfId="1" priority="2244" operator="equal">
      <formula>"未完成"</formula>
    </cfRule>
    <cfRule type="cellIs" dxfId="0" priority="2245" operator="equal">
      <formula>"未完成"</formula>
    </cfRule>
  </conditionalFormatting>
  <conditionalFormatting sqref="AN223:AO223">
    <cfRule type="cellIs" dxfId="1" priority="2238" operator="equal">
      <formula>"未完成"</formula>
    </cfRule>
    <cfRule type="cellIs" dxfId="0" priority="2239" operator="equal">
      <formula>"未完成"</formula>
    </cfRule>
  </conditionalFormatting>
  <conditionalFormatting sqref="AR223:AT223">
    <cfRule type="cellIs" dxfId="1" priority="2246" operator="equal">
      <formula>"未完成"</formula>
    </cfRule>
    <cfRule type="cellIs" dxfId="0" priority="2247" operator="equal">
      <formula>"未完成"</formula>
    </cfRule>
  </conditionalFormatting>
  <conditionalFormatting sqref="T224">
    <cfRule type="cellIs" dxfId="0" priority="2007" operator="equal">
      <formula>"欠"</formula>
    </cfRule>
  </conditionalFormatting>
  <conditionalFormatting sqref="AG224">
    <cfRule type="cellIs" dxfId="1" priority="1719" operator="equal">
      <formula>"未完成"</formula>
    </cfRule>
    <cfRule type="cellIs" dxfId="0" priority="1720" operator="equal">
      <formula>"未完成"</formula>
    </cfRule>
  </conditionalFormatting>
  <conditionalFormatting sqref="AC225">
    <cfRule type="cellIs" dxfId="0" priority="1749" operator="equal">
      <formula>"未完成"</formula>
    </cfRule>
  </conditionalFormatting>
  <conditionalFormatting sqref="AJ225">
    <cfRule type="cellIs" dxfId="1" priority="1743" operator="equal">
      <formula>"未完成"</formula>
    </cfRule>
    <cfRule type="cellIs" dxfId="0" priority="1744" operator="equal">
      <formula>"未完成"</formula>
    </cfRule>
  </conditionalFormatting>
  <conditionalFormatting sqref="AN225:AO225">
    <cfRule type="cellIs" dxfId="1" priority="1737" operator="equal">
      <formula>"未完成"</formula>
    </cfRule>
    <cfRule type="cellIs" dxfId="0" priority="1738" operator="equal">
      <formula>"未完成"</formula>
    </cfRule>
  </conditionalFormatting>
  <conditionalFormatting sqref="AR225:AT225">
    <cfRule type="cellIs" dxfId="1" priority="1745" operator="equal">
      <formula>"未完成"</formula>
    </cfRule>
    <cfRule type="cellIs" dxfId="0" priority="1746" operator="equal">
      <formula>"未完成"</formula>
    </cfRule>
  </conditionalFormatting>
  <conditionalFormatting sqref="AC226">
    <cfRule type="cellIs" dxfId="0" priority="1976" operator="equal">
      <formula>"未完成"</formula>
    </cfRule>
  </conditionalFormatting>
  <conditionalFormatting sqref="AH226">
    <cfRule type="cellIs" dxfId="1" priority="1974" operator="equal">
      <formula>"未完成"</formula>
    </cfRule>
    <cfRule type="cellIs" dxfId="0" priority="1975" operator="equal">
      <formula>"未完成"</formula>
    </cfRule>
  </conditionalFormatting>
  <conditionalFormatting sqref="AI226">
    <cfRule type="cellIs" dxfId="1" priority="1966" operator="equal">
      <formula>"未完成"</formula>
    </cfRule>
    <cfRule type="cellIs" dxfId="0" priority="1967" operator="equal">
      <formula>"未完成"</formula>
    </cfRule>
  </conditionalFormatting>
  <conditionalFormatting sqref="AJ226">
    <cfRule type="cellIs" dxfId="1" priority="1970" operator="equal">
      <formula>"未完成"</formula>
    </cfRule>
    <cfRule type="cellIs" dxfId="0" priority="1971" operator="equal">
      <formula>"未完成"</formula>
    </cfRule>
  </conditionalFormatting>
  <conditionalFormatting sqref="AN226:AO226">
    <cfRule type="cellIs" dxfId="1" priority="1964" operator="equal">
      <formula>"未完成"</formula>
    </cfRule>
    <cfRule type="cellIs" dxfId="0" priority="1965" operator="equal">
      <formula>"未完成"</formula>
    </cfRule>
  </conditionalFormatting>
  <conditionalFormatting sqref="AQ226">
    <cfRule type="cellIs" dxfId="0" priority="1063" operator="equal">
      <formula>"未完成"</formula>
    </cfRule>
    <cfRule type="cellIs" dxfId="1" priority="1062" operator="equal">
      <formula>"未完成"</formula>
    </cfRule>
  </conditionalFormatting>
  <conditionalFormatting sqref="AR226:AT226">
    <cfRule type="cellIs" dxfId="1" priority="1972" operator="equal">
      <formula>"未完成"</formula>
    </cfRule>
    <cfRule type="cellIs" dxfId="0" priority="1973" operator="equal">
      <formula>"未完成"</formula>
    </cfRule>
  </conditionalFormatting>
  <conditionalFormatting sqref="AN227">
    <cfRule type="cellIs" dxfId="1" priority="4468" operator="equal">
      <formula>"未完成"</formula>
    </cfRule>
    <cfRule type="cellIs" dxfId="0" priority="4469" operator="equal">
      <formula>"未完成"</formula>
    </cfRule>
  </conditionalFormatting>
  <conditionalFormatting sqref="AO227">
    <cfRule type="cellIs" dxfId="1" priority="4816" operator="equal">
      <formula>"未完成"</formula>
    </cfRule>
    <cfRule type="cellIs" dxfId="0" priority="4817" operator="equal">
      <formula>"未完成"</formula>
    </cfRule>
  </conditionalFormatting>
  <conditionalFormatting sqref="AQ227">
    <cfRule type="cellIs" dxfId="1" priority="4676" operator="equal">
      <formula>"未完成"</formula>
    </cfRule>
    <cfRule type="cellIs" dxfId="0" priority="4677" operator="equal">
      <formula>"未完成"</formula>
    </cfRule>
  </conditionalFormatting>
  <conditionalFormatting sqref="AR227:AT227">
    <cfRule type="cellIs" dxfId="1" priority="4812" operator="equal">
      <formula>"未完成"</formula>
    </cfRule>
    <cfRule type="cellIs" dxfId="0" priority="4813" operator="equal">
      <formula>"未完成"</formula>
    </cfRule>
  </conditionalFormatting>
  <conditionalFormatting sqref="AN230">
    <cfRule type="cellIs" dxfId="0" priority="1121" operator="equal">
      <formula>"未完成"</formula>
    </cfRule>
    <cfRule type="cellIs" dxfId="1" priority="1120" operator="equal">
      <formula>"未完成"</formula>
    </cfRule>
  </conditionalFormatting>
  <conditionalFormatting sqref="R231">
    <cfRule type="cellIs" dxfId="0" priority="1313" operator="equal">
      <formula>"欠"</formula>
    </cfRule>
  </conditionalFormatting>
  <conditionalFormatting sqref="AC231">
    <cfRule type="cellIs" dxfId="0" priority="1328" operator="equal">
      <formula>"未完成"</formula>
    </cfRule>
  </conditionalFormatting>
  <conditionalFormatting sqref="AG231:AH231">
    <cfRule type="cellIs" dxfId="1" priority="1326" operator="equal">
      <formula>"未完成"</formula>
    </cfRule>
    <cfRule type="cellIs" dxfId="0" priority="1327" operator="equal">
      <formula>"未完成"</formula>
    </cfRule>
  </conditionalFormatting>
  <conditionalFormatting sqref="AJ231">
    <cfRule type="cellIs" dxfId="1" priority="1322" operator="equal">
      <formula>"未完成"</formula>
    </cfRule>
    <cfRule type="cellIs" dxfId="0" priority="1323" operator="equal">
      <formula>"未完成"</formula>
    </cfRule>
  </conditionalFormatting>
  <conditionalFormatting sqref="AK231">
    <cfRule type="cellIs" dxfId="1" priority="1320" operator="equal">
      <formula>"未完成"</formula>
    </cfRule>
    <cfRule type="cellIs" dxfId="0" priority="1321" operator="equal">
      <formula>"未完成"</formula>
    </cfRule>
  </conditionalFormatting>
  <conditionalFormatting sqref="AO231">
    <cfRule type="cellIs" dxfId="1" priority="1316" operator="equal">
      <formula>"未完成"</formula>
    </cfRule>
    <cfRule type="cellIs" dxfId="0" priority="1317" operator="equal">
      <formula>"未完成"</formula>
    </cfRule>
  </conditionalFormatting>
  <conditionalFormatting sqref="AR231:AT231">
    <cfRule type="cellIs" dxfId="1" priority="1324" operator="equal">
      <formula>"未完成"</formula>
    </cfRule>
    <cfRule type="cellIs" dxfId="0" priority="1325" operator="equal">
      <formula>"未完成"</formula>
    </cfRule>
  </conditionalFormatting>
  <conditionalFormatting sqref="AQ237">
    <cfRule type="cellIs" dxfId="1" priority="1058" operator="equal">
      <formula>"未完成"</formula>
    </cfRule>
    <cfRule type="cellIs" dxfId="0" priority="1059" operator="equal">
      <formula>"未完成"</formula>
    </cfRule>
  </conditionalFormatting>
  <conditionalFormatting sqref="R245">
    <cfRule type="cellIs" dxfId="0" priority="1027" operator="equal">
      <formula>"欠"</formula>
    </cfRule>
  </conditionalFormatting>
  <conditionalFormatting sqref="T245">
    <cfRule type="cellIs" dxfId="0" priority="1017" operator="equal">
      <formula>"欠"</formula>
    </cfRule>
  </conditionalFormatting>
  <conditionalFormatting sqref="AC245">
    <cfRule type="cellIs" dxfId="0" priority="1026" operator="equal">
      <formula>"未完成"</formula>
    </cfRule>
  </conditionalFormatting>
  <conditionalFormatting sqref="AG245:AH245">
    <cfRule type="cellIs" dxfId="0" priority="1025" operator="equal">
      <formula>"未完成"</formula>
    </cfRule>
    <cfRule type="cellIs" dxfId="1" priority="1024" operator="equal">
      <formula>"未完成"</formula>
    </cfRule>
  </conditionalFormatting>
  <conditionalFormatting sqref="AJ245">
    <cfRule type="cellIs" dxfId="0" priority="1021" operator="equal">
      <formula>"未完成"</formula>
    </cfRule>
    <cfRule type="cellIs" dxfId="1" priority="1020" operator="equal">
      <formula>"未完成"</formula>
    </cfRule>
  </conditionalFormatting>
  <conditionalFormatting sqref="AN245">
    <cfRule type="cellIs" dxfId="0" priority="1029" operator="equal">
      <formula>"未完成"</formula>
    </cfRule>
    <cfRule type="cellIs" dxfId="1" priority="1028" operator="equal">
      <formula>"未完成"</formula>
    </cfRule>
  </conditionalFormatting>
  <conditionalFormatting sqref="AO245">
    <cfRule type="cellIs" dxfId="0" priority="1019" operator="equal">
      <formula>"未完成"</formula>
    </cfRule>
    <cfRule type="cellIs" dxfId="1" priority="1018" operator="equal">
      <formula>"未完成"</formula>
    </cfRule>
  </conditionalFormatting>
  <conditionalFormatting sqref="AR245:AT245">
    <cfRule type="cellIs" dxfId="0" priority="1023" operator="equal">
      <formula>"未完成"</formula>
    </cfRule>
    <cfRule type="cellIs" dxfId="1" priority="1022" operator="equal">
      <formula>"未完成"</formula>
    </cfRule>
  </conditionalFormatting>
  <conditionalFormatting sqref="AK246">
    <cfRule type="cellIs" dxfId="1" priority="1067" operator="equal">
      <formula>"未完成"</formula>
    </cfRule>
    <cfRule type="cellIs" dxfId="0" priority="1068" operator="equal">
      <formula>"未完成"</formula>
    </cfRule>
  </conditionalFormatting>
  <conditionalFormatting sqref="AC248">
    <cfRule type="cellIs" dxfId="0" priority="1048" operator="equal">
      <formula>"未完成"</formula>
    </cfRule>
  </conditionalFormatting>
  <conditionalFormatting sqref="AG248">
    <cfRule type="cellIs" dxfId="0" priority="919" operator="equal">
      <formula>"未完成"</formula>
    </cfRule>
    <cfRule type="cellIs" dxfId="1" priority="918" operator="equal">
      <formula>"未完成"</formula>
    </cfRule>
  </conditionalFormatting>
  <conditionalFormatting sqref="AH248">
    <cfRule type="cellIs" dxfId="1" priority="1046" operator="equal">
      <formula>"未完成"</formula>
    </cfRule>
    <cfRule type="cellIs" dxfId="0" priority="1047" operator="equal">
      <formula>"未完成"</formula>
    </cfRule>
  </conditionalFormatting>
  <conditionalFormatting sqref="AJ248">
    <cfRule type="cellIs" dxfId="1" priority="1042" operator="equal">
      <formula>"未完成"</formula>
    </cfRule>
    <cfRule type="cellIs" dxfId="0" priority="1043" operator="equal">
      <formula>"未完成"</formula>
    </cfRule>
  </conditionalFormatting>
  <conditionalFormatting sqref="AN248">
    <cfRule type="cellIs" dxfId="1" priority="1052" operator="equal">
      <formula>"未完成"</formula>
    </cfRule>
    <cfRule type="cellIs" dxfId="0" priority="1053" operator="equal">
      <formula>"未完成"</formula>
    </cfRule>
  </conditionalFormatting>
  <conditionalFormatting sqref="AO248">
    <cfRule type="cellIs" dxfId="1" priority="1038" operator="equal">
      <formula>"未完成"</formula>
    </cfRule>
    <cfRule type="cellIs" dxfId="0" priority="1039" operator="equal">
      <formula>"未完成"</formula>
    </cfRule>
  </conditionalFormatting>
  <conditionalFormatting sqref="AR248:AT248">
    <cfRule type="cellIs" dxfId="1" priority="1044" operator="equal">
      <formula>"未完成"</formula>
    </cfRule>
    <cfRule type="cellIs" dxfId="0" priority="1045" operator="equal">
      <formula>"未完成"</formula>
    </cfRule>
  </conditionalFormatting>
  <conditionalFormatting sqref="R255">
    <cfRule type="cellIs" dxfId="0" priority="975" operator="equal">
      <formula>"欠"</formula>
    </cfRule>
  </conditionalFormatting>
  <conditionalFormatting sqref="AC255">
    <cfRule type="cellIs" dxfId="0" priority="994" operator="equal">
      <formula>"未完成"</formula>
    </cfRule>
  </conditionalFormatting>
  <conditionalFormatting sqref="AG255:AH255">
    <cfRule type="cellIs" dxfId="1" priority="990" operator="equal">
      <formula>"未完成"</formula>
    </cfRule>
    <cfRule type="cellIs" dxfId="0" priority="992" operator="equal">
      <formula>"未完成"</formula>
    </cfRule>
  </conditionalFormatting>
  <conditionalFormatting sqref="AI255">
    <cfRule type="cellIs" dxfId="1" priority="1004" operator="equal">
      <formula>"未完成"</formula>
    </cfRule>
    <cfRule type="cellIs" dxfId="0" priority="1006" operator="equal">
      <formula>"未完成"</formula>
    </cfRule>
  </conditionalFormatting>
  <conditionalFormatting sqref="AJ255">
    <cfRule type="cellIs" dxfId="1" priority="982" operator="equal">
      <formula>"未完成"</formula>
    </cfRule>
    <cfRule type="cellIs" dxfId="0" priority="984" operator="equal">
      <formula>"未完成"</formula>
    </cfRule>
  </conditionalFormatting>
  <conditionalFormatting sqref="AN255">
    <cfRule type="cellIs" dxfId="1" priority="998" operator="equal">
      <formula>"未完成"</formula>
    </cfRule>
    <cfRule type="cellIs" dxfId="0" priority="1000" operator="equal">
      <formula>"未完成"</formula>
    </cfRule>
  </conditionalFormatting>
  <conditionalFormatting sqref="AO255">
    <cfRule type="cellIs" dxfId="1" priority="978" operator="equal">
      <formula>"未完成"</formula>
    </cfRule>
    <cfRule type="cellIs" dxfId="0" priority="980" operator="equal">
      <formula>"未完成"</formula>
    </cfRule>
  </conditionalFormatting>
  <conditionalFormatting sqref="AR255:AT255">
    <cfRule type="cellIs" dxfId="1" priority="986" operator="equal">
      <formula>"未完成"</formula>
    </cfRule>
    <cfRule type="cellIs" dxfId="0" priority="988" operator="equal">
      <formula>"未完成"</formula>
    </cfRule>
  </conditionalFormatting>
  <conditionalFormatting sqref="T256">
    <cfRule type="cellIs" dxfId="0" priority="1104" operator="equal">
      <formula>"欠"</formula>
    </cfRule>
  </conditionalFormatting>
  <conditionalFormatting sqref="AG256">
    <cfRule type="cellIs" dxfId="1" priority="920" operator="equal">
      <formula>"未完成"</formula>
    </cfRule>
    <cfRule type="cellIs" dxfId="0" priority="921" operator="equal">
      <formula>"未完成"</formula>
    </cfRule>
  </conditionalFormatting>
  <conditionalFormatting sqref="AJ256">
    <cfRule type="cellIs" dxfId="1" priority="1113" operator="equal">
      <formula>"未完成"</formula>
    </cfRule>
    <cfRule type="cellIs" dxfId="0" priority="1114" operator="equal">
      <formula>"未完成"</formula>
    </cfRule>
  </conditionalFormatting>
  <conditionalFormatting sqref="AK256">
    <cfRule type="cellIs" dxfId="1" priority="1111" operator="equal">
      <formula>"未完成"</formula>
    </cfRule>
    <cfRule type="cellIs" dxfId="0" priority="1112" operator="equal">
      <formula>"未完成"</formula>
    </cfRule>
  </conditionalFormatting>
  <conditionalFormatting sqref="R257:S257">
    <cfRule type="cellIs" dxfId="0" priority="690" operator="equal">
      <formula>"欠"</formula>
    </cfRule>
  </conditionalFormatting>
  <conditionalFormatting sqref="T257">
    <cfRule type="cellIs" dxfId="0" priority="450" operator="equal">
      <formula>"欠"</formula>
    </cfRule>
  </conditionalFormatting>
  <conditionalFormatting sqref="AC257">
    <cfRule type="cellIs" dxfId="0" priority="615" operator="equal">
      <formula>"未完成"</formula>
    </cfRule>
  </conditionalFormatting>
  <conditionalFormatting sqref="AG257">
    <cfRule type="cellIs" dxfId="0" priority="435" operator="equal">
      <formula>"未完成"</formula>
    </cfRule>
    <cfRule type="cellIs" dxfId="1" priority="420" operator="equal">
      <formula>"未完成"</formula>
    </cfRule>
  </conditionalFormatting>
  <conditionalFormatting sqref="AH257">
    <cfRule type="cellIs" dxfId="0" priority="600" operator="equal">
      <formula>"未完成"</formula>
    </cfRule>
    <cfRule type="cellIs" dxfId="1" priority="585" operator="equal">
      <formula>"未完成"</formula>
    </cfRule>
  </conditionalFormatting>
  <conditionalFormatting sqref="AI257">
    <cfRule type="cellIs" dxfId="0" priority="720" operator="equal">
      <formula>"未完成"</formula>
    </cfRule>
    <cfRule type="cellIs" dxfId="1" priority="705" operator="equal">
      <formula>"未完成"</formula>
    </cfRule>
  </conditionalFormatting>
  <conditionalFormatting sqref="AJ257">
    <cfRule type="cellIs" dxfId="0" priority="540" operator="equal">
      <formula>"未完成"</formula>
    </cfRule>
    <cfRule type="cellIs" dxfId="1" priority="525" operator="equal">
      <formula>"未完成"</formula>
    </cfRule>
  </conditionalFormatting>
  <conditionalFormatting sqref="AK257">
    <cfRule type="cellIs" dxfId="0" priority="510" operator="equal">
      <formula>"未完成"</formula>
    </cfRule>
    <cfRule type="cellIs" dxfId="1" priority="495" operator="equal">
      <formula>"未完成"</formula>
    </cfRule>
  </conditionalFormatting>
  <conditionalFormatting sqref="AN257">
    <cfRule type="cellIs" dxfId="0" priority="675" operator="equal">
      <formula>"未完成"</formula>
    </cfRule>
    <cfRule type="cellIs" dxfId="1" priority="660" operator="equal">
      <formula>"未完成"</formula>
    </cfRule>
  </conditionalFormatting>
  <conditionalFormatting sqref="AO257">
    <cfRule type="cellIs" dxfId="0" priority="480" operator="equal">
      <formula>"未完成"</formula>
    </cfRule>
    <cfRule type="cellIs" dxfId="1" priority="465" operator="equal">
      <formula>"未完成"</formula>
    </cfRule>
  </conditionalFormatting>
  <conditionalFormatting sqref="AQ257">
    <cfRule type="cellIs" dxfId="0" priority="645" operator="equal">
      <formula>"未完成"</formula>
    </cfRule>
    <cfRule type="cellIs" dxfId="1" priority="630" operator="equal">
      <formula>"未完成"</formula>
    </cfRule>
  </conditionalFormatting>
  <conditionalFormatting sqref="AR257:AT257">
    <cfRule type="cellIs" dxfId="0" priority="570" operator="equal">
      <formula>"未完成"</formula>
    </cfRule>
    <cfRule type="cellIs" dxfId="1" priority="555" operator="equal">
      <formula>"未完成"</formula>
    </cfRule>
  </conditionalFormatting>
  <conditionalFormatting sqref="R258:S258">
    <cfRule type="cellIs" dxfId="0" priority="689" operator="equal">
      <formula>"欠"</formula>
    </cfRule>
  </conditionalFormatting>
  <conditionalFormatting sqref="T258">
    <cfRule type="cellIs" dxfId="0" priority="449" operator="equal">
      <formula>"欠"</formula>
    </cfRule>
  </conditionalFormatting>
  <conditionalFormatting sqref="AC258">
    <cfRule type="cellIs" dxfId="0" priority="614" operator="equal">
      <formula>"未完成"</formula>
    </cfRule>
  </conditionalFormatting>
  <conditionalFormatting sqref="AG258">
    <cfRule type="cellIs" dxfId="0" priority="434" operator="equal">
      <formula>"未完成"</formula>
    </cfRule>
    <cfRule type="cellIs" dxfId="1" priority="419" operator="equal">
      <formula>"未完成"</formula>
    </cfRule>
  </conditionalFormatting>
  <conditionalFormatting sqref="AH258">
    <cfRule type="cellIs" dxfId="0" priority="599" operator="equal">
      <formula>"未完成"</formula>
    </cfRule>
    <cfRule type="cellIs" dxfId="1" priority="584" operator="equal">
      <formula>"未完成"</formula>
    </cfRule>
  </conditionalFormatting>
  <conditionalFormatting sqref="AI258">
    <cfRule type="cellIs" dxfId="0" priority="719" operator="equal">
      <formula>"未完成"</formula>
    </cfRule>
    <cfRule type="cellIs" dxfId="1" priority="704" operator="equal">
      <formula>"未完成"</formula>
    </cfRule>
  </conditionalFormatting>
  <conditionalFormatting sqref="AJ258">
    <cfRule type="cellIs" dxfId="0" priority="539" operator="equal">
      <formula>"未完成"</formula>
    </cfRule>
    <cfRule type="cellIs" dxfId="1" priority="524" operator="equal">
      <formula>"未完成"</formula>
    </cfRule>
  </conditionalFormatting>
  <conditionalFormatting sqref="AK258">
    <cfRule type="cellIs" dxfId="0" priority="509" operator="equal">
      <formula>"未完成"</formula>
    </cfRule>
    <cfRule type="cellIs" dxfId="1" priority="494" operator="equal">
      <formula>"未完成"</formula>
    </cfRule>
  </conditionalFormatting>
  <conditionalFormatting sqref="AN258">
    <cfRule type="cellIs" dxfId="0" priority="674" operator="equal">
      <formula>"未完成"</formula>
    </cfRule>
    <cfRule type="cellIs" dxfId="1" priority="659" operator="equal">
      <formula>"未完成"</formula>
    </cfRule>
  </conditionalFormatting>
  <conditionalFormatting sqref="AO258">
    <cfRule type="cellIs" dxfId="0" priority="479" operator="equal">
      <formula>"未完成"</formula>
    </cfRule>
    <cfRule type="cellIs" dxfId="1" priority="464" operator="equal">
      <formula>"未完成"</formula>
    </cfRule>
  </conditionalFormatting>
  <conditionalFormatting sqref="AQ258">
    <cfRule type="cellIs" dxfId="0" priority="644" operator="equal">
      <formula>"未完成"</formula>
    </cfRule>
    <cfRule type="cellIs" dxfId="1" priority="629" operator="equal">
      <formula>"未完成"</formula>
    </cfRule>
  </conditionalFormatting>
  <conditionalFormatting sqref="AR258:AT258">
    <cfRule type="cellIs" dxfId="0" priority="569" operator="equal">
      <formula>"未完成"</formula>
    </cfRule>
    <cfRule type="cellIs" dxfId="1" priority="554" operator="equal">
      <formula>"未完成"</formula>
    </cfRule>
  </conditionalFormatting>
  <conditionalFormatting sqref="R259:S259">
    <cfRule type="cellIs" dxfId="0" priority="688" operator="equal">
      <formula>"欠"</formula>
    </cfRule>
  </conditionalFormatting>
  <conditionalFormatting sqref="T259">
    <cfRule type="cellIs" dxfId="0" priority="448" operator="equal">
      <formula>"欠"</formula>
    </cfRule>
  </conditionalFormatting>
  <conditionalFormatting sqref="AC259">
    <cfRule type="cellIs" dxfId="0" priority="613" operator="equal">
      <formula>"未完成"</formula>
    </cfRule>
  </conditionalFormatting>
  <conditionalFormatting sqref="AG259">
    <cfRule type="cellIs" dxfId="0" priority="433" operator="equal">
      <formula>"未完成"</formula>
    </cfRule>
    <cfRule type="cellIs" dxfId="1" priority="418" operator="equal">
      <formula>"未完成"</formula>
    </cfRule>
  </conditionalFormatting>
  <conditionalFormatting sqref="AH259">
    <cfRule type="cellIs" dxfId="0" priority="598" operator="equal">
      <formula>"未完成"</formula>
    </cfRule>
    <cfRule type="cellIs" dxfId="1" priority="583" operator="equal">
      <formula>"未完成"</formula>
    </cfRule>
  </conditionalFormatting>
  <conditionalFormatting sqref="AI259">
    <cfRule type="cellIs" dxfId="0" priority="718" operator="equal">
      <formula>"未完成"</formula>
    </cfRule>
    <cfRule type="cellIs" dxfId="1" priority="703" operator="equal">
      <formula>"未完成"</formula>
    </cfRule>
  </conditionalFormatting>
  <conditionalFormatting sqref="AJ259">
    <cfRule type="cellIs" dxfId="0" priority="538" operator="equal">
      <formula>"未完成"</formula>
    </cfRule>
    <cfRule type="cellIs" dxfId="1" priority="523" operator="equal">
      <formula>"未完成"</formula>
    </cfRule>
  </conditionalFormatting>
  <conditionalFormatting sqref="AK259">
    <cfRule type="cellIs" dxfId="0" priority="508" operator="equal">
      <formula>"未完成"</formula>
    </cfRule>
    <cfRule type="cellIs" dxfId="1" priority="493" operator="equal">
      <formula>"未完成"</formula>
    </cfRule>
  </conditionalFormatting>
  <conditionalFormatting sqref="AN259">
    <cfRule type="cellIs" dxfId="0" priority="673" operator="equal">
      <formula>"未完成"</formula>
    </cfRule>
    <cfRule type="cellIs" dxfId="1" priority="658" operator="equal">
      <formula>"未完成"</formula>
    </cfRule>
  </conditionalFormatting>
  <conditionalFormatting sqref="AO259">
    <cfRule type="cellIs" dxfId="0" priority="478" operator="equal">
      <formula>"未完成"</formula>
    </cfRule>
    <cfRule type="cellIs" dxfId="1" priority="463" operator="equal">
      <formula>"未完成"</formula>
    </cfRule>
  </conditionalFormatting>
  <conditionalFormatting sqref="AQ259">
    <cfRule type="cellIs" dxfId="0" priority="643" operator="equal">
      <formula>"未完成"</formula>
    </cfRule>
    <cfRule type="cellIs" dxfId="1" priority="628" operator="equal">
      <formula>"未完成"</formula>
    </cfRule>
  </conditionalFormatting>
  <conditionalFormatting sqref="AR259:AT259">
    <cfRule type="cellIs" dxfId="0" priority="568" operator="equal">
      <formula>"未完成"</formula>
    </cfRule>
    <cfRule type="cellIs" dxfId="1" priority="553" operator="equal">
      <formula>"未完成"</formula>
    </cfRule>
  </conditionalFormatting>
  <conditionalFormatting sqref="R260:S260">
    <cfRule type="cellIs" dxfId="0" priority="687" operator="equal">
      <formula>"欠"</formula>
    </cfRule>
  </conditionalFormatting>
  <conditionalFormatting sqref="T260">
    <cfRule type="cellIs" dxfId="0" priority="447" operator="equal">
      <formula>"欠"</formula>
    </cfRule>
  </conditionalFormatting>
  <conditionalFormatting sqref="AC260">
    <cfRule type="cellIs" dxfId="0" priority="612" operator="equal">
      <formula>"未完成"</formula>
    </cfRule>
  </conditionalFormatting>
  <conditionalFormatting sqref="AG260">
    <cfRule type="cellIs" dxfId="0" priority="432" operator="equal">
      <formula>"未完成"</formula>
    </cfRule>
    <cfRule type="cellIs" dxfId="1" priority="417" operator="equal">
      <formula>"未完成"</formula>
    </cfRule>
  </conditionalFormatting>
  <conditionalFormatting sqref="AH260">
    <cfRule type="cellIs" dxfId="0" priority="597" operator="equal">
      <formula>"未完成"</formula>
    </cfRule>
    <cfRule type="cellIs" dxfId="1" priority="582" operator="equal">
      <formula>"未完成"</formula>
    </cfRule>
  </conditionalFormatting>
  <conditionalFormatting sqref="AI260">
    <cfRule type="cellIs" dxfId="0" priority="717" operator="equal">
      <formula>"未完成"</formula>
    </cfRule>
    <cfRule type="cellIs" dxfId="1" priority="702" operator="equal">
      <formula>"未完成"</formula>
    </cfRule>
  </conditionalFormatting>
  <conditionalFormatting sqref="AJ260">
    <cfRule type="cellIs" dxfId="0" priority="537" operator="equal">
      <formula>"未完成"</formula>
    </cfRule>
    <cfRule type="cellIs" dxfId="1" priority="522" operator="equal">
      <formula>"未完成"</formula>
    </cfRule>
  </conditionalFormatting>
  <conditionalFormatting sqref="AK260">
    <cfRule type="cellIs" dxfId="0" priority="507" operator="equal">
      <formula>"未完成"</formula>
    </cfRule>
    <cfRule type="cellIs" dxfId="1" priority="492" operator="equal">
      <formula>"未完成"</formula>
    </cfRule>
  </conditionalFormatting>
  <conditionalFormatting sqref="AN260">
    <cfRule type="cellIs" dxfId="0" priority="672" operator="equal">
      <formula>"未完成"</formula>
    </cfRule>
    <cfRule type="cellIs" dxfId="1" priority="657" operator="equal">
      <formula>"未完成"</formula>
    </cfRule>
  </conditionalFormatting>
  <conditionalFormatting sqref="AO260">
    <cfRule type="cellIs" dxfId="0" priority="477" operator="equal">
      <formula>"未完成"</formula>
    </cfRule>
    <cfRule type="cellIs" dxfId="1" priority="462" operator="equal">
      <formula>"未完成"</formula>
    </cfRule>
  </conditionalFormatting>
  <conditionalFormatting sqref="AQ260">
    <cfRule type="cellIs" dxfId="0" priority="642" operator="equal">
      <formula>"未完成"</formula>
    </cfRule>
    <cfRule type="cellIs" dxfId="1" priority="627" operator="equal">
      <formula>"未完成"</formula>
    </cfRule>
  </conditionalFormatting>
  <conditionalFormatting sqref="AR260:AT260">
    <cfRule type="cellIs" dxfId="0" priority="567" operator="equal">
      <formula>"未完成"</formula>
    </cfRule>
    <cfRule type="cellIs" dxfId="1" priority="552" operator="equal">
      <formula>"未完成"</formula>
    </cfRule>
  </conditionalFormatting>
  <conditionalFormatting sqref="R261:S261">
    <cfRule type="cellIs" dxfId="0" priority="686" operator="equal">
      <formula>"欠"</formula>
    </cfRule>
  </conditionalFormatting>
  <conditionalFormatting sqref="T261">
    <cfRule type="cellIs" dxfId="0" priority="446" operator="equal">
      <formula>"欠"</formula>
    </cfRule>
  </conditionalFormatting>
  <conditionalFormatting sqref="AC261">
    <cfRule type="cellIs" dxfId="0" priority="611" operator="equal">
      <formula>"未完成"</formula>
    </cfRule>
  </conditionalFormatting>
  <conditionalFormatting sqref="AG261">
    <cfRule type="cellIs" dxfId="0" priority="431" operator="equal">
      <formula>"未完成"</formula>
    </cfRule>
    <cfRule type="cellIs" dxfId="1" priority="416" operator="equal">
      <formula>"未完成"</formula>
    </cfRule>
  </conditionalFormatting>
  <conditionalFormatting sqref="AH261">
    <cfRule type="cellIs" dxfId="0" priority="596" operator="equal">
      <formula>"未完成"</formula>
    </cfRule>
    <cfRule type="cellIs" dxfId="1" priority="581" operator="equal">
      <formula>"未完成"</formula>
    </cfRule>
  </conditionalFormatting>
  <conditionalFormatting sqref="AI261">
    <cfRule type="cellIs" dxfId="0" priority="716" operator="equal">
      <formula>"未完成"</formula>
    </cfRule>
    <cfRule type="cellIs" dxfId="1" priority="701" operator="equal">
      <formula>"未完成"</formula>
    </cfRule>
  </conditionalFormatting>
  <conditionalFormatting sqref="AJ261">
    <cfRule type="cellIs" dxfId="0" priority="536" operator="equal">
      <formula>"未完成"</formula>
    </cfRule>
    <cfRule type="cellIs" dxfId="1" priority="521" operator="equal">
      <formula>"未完成"</formula>
    </cfRule>
  </conditionalFormatting>
  <conditionalFormatting sqref="AK261">
    <cfRule type="cellIs" dxfId="0" priority="506" operator="equal">
      <formula>"未完成"</formula>
    </cfRule>
    <cfRule type="cellIs" dxfId="1" priority="491" operator="equal">
      <formula>"未完成"</formula>
    </cfRule>
  </conditionalFormatting>
  <conditionalFormatting sqref="AN261">
    <cfRule type="cellIs" dxfId="0" priority="671" operator="equal">
      <formula>"未完成"</formula>
    </cfRule>
    <cfRule type="cellIs" dxfId="1" priority="656" operator="equal">
      <formula>"未完成"</formula>
    </cfRule>
  </conditionalFormatting>
  <conditionalFormatting sqref="AO261">
    <cfRule type="cellIs" dxfId="0" priority="476" operator="equal">
      <formula>"未完成"</formula>
    </cfRule>
    <cfRule type="cellIs" dxfId="1" priority="461" operator="equal">
      <formula>"未完成"</formula>
    </cfRule>
  </conditionalFormatting>
  <conditionalFormatting sqref="AQ261">
    <cfRule type="cellIs" dxfId="0" priority="641" operator="equal">
      <formula>"未完成"</formula>
    </cfRule>
    <cfRule type="cellIs" dxfId="1" priority="626" operator="equal">
      <formula>"未完成"</formula>
    </cfRule>
  </conditionalFormatting>
  <conditionalFormatting sqref="AR261:AT261">
    <cfRule type="cellIs" dxfId="0" priority="566" operator="equal">
      <formula>"未完成"</formula>
    </cfRule>
    <cfRule type="cellIs" dxfId="1" priority="551" operator="equal">
      <formula>"未完成"</formula>
    </cfRule>
  </conditionalFormatting>
  <conditionalFormatting sqref="R262:S262">
    <cfRule type="cellIs" dxfId="0" priority="685" operator="equal">
      <formula>"欠"</formula>
    </cfRule>
  </conditionalFormatting>
  <conditionalFormatting sqref="T262">
    <cfRule type="cellIs" dxfId="0" priority="445" operator="equal">
      <formula>"欠"</formula>
    </cfRule>
  </conditionalFormatting>
  <conditionalFormatting sqref="AC262">
    <cfRule type="cellIs" dxfId="0" priority="610" operator="equal">
      <formula>"未完成"</formula>
    </cfRule>
  </conditionalFormatting>
  <conditionalFormatting sqref="AG262">
    <cfRule type="cellIs" dxfId="0" priority="430" operator="equal">
      <formula>"未完成"</formula>
    </cfRule>
    <cfRule type="cellIs" dxfId="1" priority="415" operator="equal">
      <formula>"未完成"</formula>
    </cfRule>
  </conditionalFormatting>
  <conditionalFormatting sqref="AH262">
    <cfRule type="cellIs" dxfId="0" priority="595" operator="equal">
      <formula>"未完成"</formula>
    </cfRule>
    <cfRule type="cellIs" dxfId="1" priority="580" operator="equal">
      <formula>"未完成"</formula>
    </cfRule>
  </conditionalFormatting>
  <conditionalFormatting sqref="AI262">
    <cfRule type="cellIs" dxfId="0" priority="715" operator="equal">
      <formula>"未完成"</formula>
    </cfRule>
    <cfRule type="cellIs" dxfId="1" priority="700" operator="equal">
      <formula>"未完成"</formula>
    </cfRule>
  </conditionalFormatting>
  <conditionalFormatting sqref="AJ262">
    <cfRule type="cellIs" dxfId="0" priority="535" operator="equal">
      <formula>"未完成"</formula>
    </cfRule>
    <cfRule type="cellIs" dxfId="1" priority="520" operator="equal">
      <formula>"未完成"</formula>
    </cfRule>
  </conditionalFormatting>
  <conditionalFormatting sqref="AK262">
    <cfRule type="cellIs" dxfId="0" priority="505" operator="equal">
      <formula>"未完成"</formula>
    </cfRule>
    <cfRule type="cellIs" dxfId="1" priority="490" operator="equal">
      <formula>"未完成"</formula>
    </cfRule>
  </conditionalFormatting>
  <conditionalFormatting sqref="AN262">
    <cfRule type="cellIs" dxfId="0" priority="670" operator="equal">
      <formula>"未完成"</formula>
    </cfRule>
    <cfRule type="cellIs" dxfId="1" priority="655" operator="equal">
      <formula>"未完成"</formula>
    </cfRule>
  </conditionalFormatting>
  <conditionalFormatting sqref="AO262">
    <cfRule type="cellIs" dxfId="0" priority="475" operator="equal">
      <formula>"未完成"</formula>
    </cfRule>
    <cfRule type="cellIs" dxfId="1" priority="460" operator="equal">
      <formula>"未完成"</formula>
    </cfRule>
  </conditionalFormatting>
  <conditionalFormatting sqref="AQ262">
    <cfRule type="cellIs" dxfId="0" priority="640" operator="equal">
      <formula>"未完成"</formula>
    </cfRule>
    <cfRule type="cellIs" dxfId="1" priority="625" operator="equal">
      <formula>"未完成"</formula>
    </cfRule>
  </conditionalFormatting>
  <conditionalFormatting sqref="AR262:AT262">
    <cfRule type="cellIs" dxfId="0" priority="565" operator="equal">
      <formula>"未完成"</formula>
    </cfRule>
    <cfRule type="cellIs" dxfId="1" priority="550" operator="equal">
      <formula>"未完成"</formula>
    </cfRule>
  </conditionalFormatting>
  <conditionalFormatting sqref="R263:S263">
    <cfRule type="cellIs" dxfId="0" priority="684" operator="equal">
      <formula>"欠"</formula>
    </cfRule>
  </conditionalFormatting>
  <conditionalFormatting sqref="T263">
    <cfRule type="cellIs" dxfId="0" priority="444" operator="equal">
      <formula>"欠"</formula>
    </cfRule>
  </conditionalFormatting>
  <conditionalFormatting sqref="AC263">
    <cfRule type="cellIs" dxfId="0" priority="609" operator="equal">
      <formula>"未完成"</formula>
    </cfRule>
  </conditionalFormatting>
  <conditionalFormatting sqref="AG263">
    <cfRule type="cellIs" dxfId="0" priority="429" operator="equal">
      <formula>"未完成"</formula>
    </cfRule>
    <cfRule type="cellIs" dxfId="1" priority="414" operator="equal">
      <formula>"未完成"</formula>
    </cfRule>
  </conditionalFormatting>
  <conditionalFormatting sqref="AH263">
    <cfRule type="cellIs" dxfId="0" priority="594" operator="equal">
      <formula>"未完成"</formula>
    </cfRule>
    <cfRule type="cellIs" dxfId="1" priority="579" operator="equal">
      <formula>"未完成"</formula>
    </cfRule>
  </conditionalFormatting>
  <conditionalFormatting sqref="AI263">
    <cfRule type="cellIs" dxfId="0" priority="714" operator="equal">
      <formula>"未完成"</formula>
    </cfRule>
    <cfRule type="cellIs" dxfId="1" priority="699" operator="equal">
      <formula>"未完成"</formula>
    </cfRule>
  </conditionalFormatting>
  <conditionalFormatting sqref="AJ263">
    <cfRule type="cellIs" dxfId="0" priority="534" operator="equal">
      <formula>"未完成"</formula>
    </cfRule>
    <cfRule type="cellIs" dxfId="1" priority="519" operator="equal">
      <formula>"未完成"</formula>
    </cfRule>
  </conditionalFormatting>
  <conditionalFormatting sqref="AK263">
    <cfRule type="cellIs" dxfId="0" priority="504" operator="equal">
      <formula>"未完成"</formula>
    </cfRule>
    <cfRule type="cellIs" dxfId="1" priority="489" operator="equal">
      <formula>"未完成"</formula>
    </cfRule>
  </conditionalFormatting>
  <conditionalFormatting sqref="AN263">
    <cfRule type="cellIs" dxfId="0" priority="669" operator="equal">
      <formula>"未完成"</formula>
    </cfRule>
    <cfRule type="cellIs" dxfId="1" priority="654" operator="equal">
      <formula>"未完成"</formula>
    </cfRule>
  </conditionalFormatting>
  <conditionalFormatting sqref="AO263">
    <cfRule type="cellIs" dxfId="0" priority="474" operator="equal">
      <formula>"未完成"</formula>
    </cfRule>
    <cfRule type="cellIs" dxfId="1" priority="459" operator="equal">
      <formula>"未完成"</formula>
    </cfRule>
  </conditionalFormatting>
  <conditionalFormatting sqref="AQ263">
    <cfRule type="cellIs" dxfId="0" priority="639" operator="equal">
      <formula>"未完成"</formula>
    </cfRule>
    <cfRule type="cellIs" dxfId="1" priority="624" operator="equal">
      <formula>"未完成"</formula>
    </cfRule>
  </conditionalFormatting>
  <conditionalFormatting sqref="AR263:AT263">
    <cfRule type="cellIs" dxfId="0" priority="564" operator="equal">
      <formula>"未完成"</formula>
    </cfRule>
    <cfRule type="cellIs" dxfId="1" priority="549" operator="equal">
      <formula>"未完成"</formula>
    </cfRule>
  </conditionalFormatting>
  <conditionalFormatting sqref="R264:S264">
    <cfRule type="cellIs" dxfId="0" priority="683" operator="equal">
      <formula>"欠"</formula>
    </cfRule>
  </conditionalFormatting>
  <conditionalFormatting sqref="T264">
    <cfRule type="cellIs" dxfId="0" priority="443" operator="equal">
      <formula>"欠"</formula>
    </cfRule>
  </conditionalFormatting>
  <conditionalFormatting sqref="AC264">
    <cfRule type="cellIs" dxfId="0" priority="608" operator="equal">
      <formula>"未完成"</formula>
    </cfRule>
  </conditionalFormatting>
  <conditionalFormatting sqref="AG264">
    <cfRule type="cellIs" dxfId="0" priority="428" operator="equal">
      <formula>"未完成"</formula>
    </cfRule>
    <cfRule type="cellIs" dxfId="1" priority="413" operator="equal">
      <formula>"未完成"</formula>
    </cfRule>
  </conditionalFormatting>
  <conditionalFormatting sqref="AH264">
    <cfRule type="cellIs" dxfId="0" priority="593" operator="equal">
      <formula>"未完成"</formula>
    </cfRule>
    <cfRule type="cellIs" dxfId="1" priority="578" operator="equal">
      <formula>"未完成"</formula>
    </cfRule>
  </conditionalFormatting>
  <conditionalFormatting sqref="AI264">
    <cfRule type="cellIs" dxfId="0" priority="713" operator="equal">
      <formula>"未完成"</formula>
    </cfRule>
    <cfRule type="cellIs" dxfId="1" priority="698" operator="equal">
      <formula>"未完成"</formula>
    </cfRule>
  </conditionalFormatting>
  <conditionalFormatting sqref="AJ264">
    <cfRule type="cellIs" dxfId="0" priority="533" operator="equal">
      <formula>"未完成"</formula>
    </cfRule>
    <cfRule type="cellIs" dxfId="1" priority="518" operator="equal">
      <formula>"未完成"</formula>
    </cfRule>
  </conditionalFormatting>
  <conditionalFormatting sqref="AK264">
    <cfRule type="cellIs" dxfId="0" priority="503" operator="equal">
      <formula>"未完成"</formula>
    </cfRule>
    <cfRule type="cellIs" dxfId="1" priority="488" operator="equal">
      <formula>"未完成"</formula>
    </cfRule>
  </conditionalFormatting>
  <conditionalFormatting sqref="AN264">
    <cfRule type="cellIs" dxfId="0" priority="668" operator="equal">
      <formula>"未完成"</formula>
    </cfRule>
    <cfRule type="cellIs" dxfId="1" priority="653" operator="equal">
      <formula>"未完成"</formula>
    </cfRule>
  </conditionalFormatting>
  <conditionalFormatting sqref="AO264">
    <cfRule type="cellIs" dxfId="0" priority="473" operator="equal">
      <formula>"未完成"</formula>
    </cfRule>
    <cfRule type="cellIs" dxfId="1" priority="458" operator="equal">
      <formula>"未完成"</formula>
    </cfRule>
  </conditionalFormatting>
  <conditionalFormatting sqref="AQ264">
    <cfRule type="cellIs" dxfId="0" priority="638" operator="equal">
      <formula>"未完成"</formula>
    </cfRule>
    <cfRule type="cellIs" dxfId="1" priority="623" operator="equal">
      <formula>"未完成"</formula>
    </cfRule>
  </conditionalFormatting>
  <conditionalFormatting sqref="AR264:AT264">
    <cfRule type="cellIs" dxfId="0" priority="563" operator="equal">
      <formula>"未完成"</formula>
    </cfRule>
    <cfRule type="cellIs" dxfId="1" priority="548" operator="equal">
      <formula>"未完成"</formula>
    </cfRule>
  </conditionalFormatting>
  <conditionalFormatting sqref="R265:S265">
    <cfRule type="cellIs" dxfId="0" priority="682" operator="equal">
      <formula>"欠"</formula>
    </cfRule>
  </conditionalFormatting>
  <conditionalFormatting sqref="T265">
    <cfRule type="cellIs" dxfId="0" priority="442" operator="equal">
      <formula>"欠"</formula>
    </cfRule>
  </conditionalFormatting>
  <conditionalFormatting sqref="AC265">
    <cfRule type="cellIs" dxfId="0" priority="607" operator="equal">
      <formula>"未完成"</formula>
    </cfRule>
  </conditionalFormatting>
  <conditionalFormatting sqref="AG265">
    <cfRule type="cellIs" dxfId="0" priority="427" operator="equal">
      <formula>"未完成"</formula>
    </cfRule>
    <cfRule type="cellIs" dxfId="1" priority="412" operator="equal">
      <formula>"未完成"</formula>
    </cfRule>
  </conditionalFormatting>
  <conditionalFormatting sqref="AH265">
    <cfRule type="cellIs" dxfId="0" priority="592" operator="equal">
      <formula>"未完成"</formula>
    </cfRule>
    <cfRule type="cellIs" dxfId="1" priority="577" operator="equal">
      <formula>"未完成"</formula>
    </cfRule>
  </conditionalFormatting>
  <conditionalFormatting sqref="AI265">
    <cfRule type="cellIs" dxfId="0" priority="712" operator="equal">
      <formula>"未完成"</formula>
    </cfRule>
    <cfRule type="cellIs" dxfId="1" priority="697" operator="equal">
      <formula>"未完成"</formula>
    </cfRule>
  </conditionalFormatting>
  <conditionalFormatting sqref="AJ265">
    <cfRule type="cellIs" dxfId="0" priority="532" operator="equal">
      <formula>"未完成"</formula>
    </cfRule>
    <cfRule type="cellIs" dxfId="1" priority="517" operator="equal">
      <formula>"未完成"</formula>
    </cfRule>
  </conditionalFormatting>
  <conditionalFormatting sqref="AK265">
    <cfRule type="cellIs" dxfId="0" priority="502" operator="equal">
      <formula>"未完成"</formula>
    </cfRule>
    <cfRule type="cellIs" dxfId="1" priority="487" operator="equal">
      <formula>"未完成"</formula>
    </cfRule>
  </conditionalFormatting>
  <conditionalFormatting sqref="AN265">
    <cfRule type="cellIs" dxfId="0" priority="667" operator="equal">
      <formula>"未完成"</formula>
    </cfRule>
    <cfRule type="cellIs" dxfId="1" priority="652" operator="equal">
      <formula>"未完成"</formula>
    </cfRule>
  </conditionalFormatting>
  <conditionalFormatting sqref="AO265">
    <cfRule type="cellIs" dxfId="0" priority="472" operator="equal">
      <formula>"未完成"</formula>
    </cfRule>
    <cfRule type="cellIs" dxfId="1" priority="457" operator="equal">
      <formula>"未完成"</formula>
    </cfRule>
  </conditionalFormatting>
  <conditionalFormatting sqref="AQ265">
    <cfRule type="cellIs" dxfId="0" priority="637" operator="equal">
      <formula>"未完成"</formula>
    </cfRule>
    <cfRule type="cellIs" dxfId="1" priority="622" operator="equal">
      <formula>"未完成"</formula>
    </cfRule>
  </conditionalFormatting>
  <conditionalFormatting sqref="AR265:AT265">
    <cfRule type="cellIs" dxfId="0" priority="562" operator="equal">
      <formula>"未完成"</formula>
    </cfRule>
    <cfRule type="cellIs" dxfId="1" priority="547" operator="equal">
      <formula>"未完成"</formula>
    </cfRule>
  </conditionalFormatting>
  <conditionalFormatting sqref="R266:S266">
    <cfRule type="cellIs" dxfId="0" priority="681" operator="equal">
      <formula>"欠"</formula>
    </cfRule>
  </conditionalFormatting>
  <conditionalFormatting sqref="T266">
    <cfRule type="cellIs" dxfId="0" priority="441" operator="equal">
      <formula>"欠"</formula>
    </cfRule>
  </conditionalFormatting>
  <conditionalFormatting sqref="AC266">
    <cfRule type="cellIs" dxfId="0" priority="606" operator="equal">
      <formula>"未完成"</formula>
    </cfRule>
  </conditionalFormatting>
  <conditionalFormatting sqref="AG266">
    <cfRule type="cellIs" dxfId="0" priority="426" operator="equal">
      <formula>"未完成"</formula>
    </cfRule>
    <cfRule type="cellIs" dxfId="1" priority="411" operator="equal">
      <formula>"未完成"</formula>
    </cfRule>
  </conditionalFormatting>
  <conditionalFormatting sqref="AH266">
    <cfRule type="cellIs" dxfId="0" priority="591" operator="equal">
      <formula>"未完成"</formula>
    </cfRule>
    <cfRule type="cellIs" dxfId="1" priority="576" operator="equal">
      <formula>"未完成"</formula>
    </cfRule>
  </conditionalFormatting>
  <conditionalFormatting sqref="AI266">
    <cfRule type="cellIs" dxfId="0" priority="711" operator="equal">
      <formula>"未完成"</formula>
    </cfRule>
    <cfRule type="cellIs" dxfId="1" priority="696" operator="equal">
      <formula>"未完成"</formula>
    </cfRule>
  </conditionalFormatting>
  <conditionalFormatting sqref="AJ266">
    <cfRule type="cellIs" dxfId="0" priority="531" operator="equal">
      <formula>"未完成"</formula>
    </cfRule>
    <cfRule type="cellIs" dxfId="1" priority="516" operator="equal">
      <formula>"未完成"</formula>
    </cfRule>
  </conditionalFormatting>
  <conditionalFormatting sqref="AK266">
    <cfRule type="cellIs" dxfId="0" priority="501" operator="equal">
      <formula>"未完成"</formula>
    </cfRule>
    <cfRule type="cellIs" dxfId="1" priority="486" operator="equal">
      <formula>"未完成"</formula>
    </cfRule>
  </conditionalFormatting>
  <conditionalFormatting sqref="AN266">
    <cfRule type="cellIs" dxfId="0" priority="666" operator="equal">
      <formula>"未完成"</formula>
    </cfRule>
    <cfRule type="cellIs" dxfId="1" priority="651" operator="equal">
      <formula>"未完成"</formula>
    </cfRule>
  </conditionalFormatting>
  <conditionalFormatting sqref="AO266">
    <cfRule type="cellIs" dxfId="0" priority="471" operator="equal">
      <formula>"未完成"</formula>
    </cfRule>
    <cfRule type="cellIs" dxfId="1" priority="456" operator="equal">
      <formula>"未完成"</formula>
    </cfRule>
  </conditionalFormatting>
  <conditionalFormatting sqref="AQ266">
    <cfRule type="cellIs" dxfId="0" priority="636" operator="equal">
      <formula>"未完成"</formula>
    </cfRule>
    <cfRule type="cellIs" dxfId="1" priority="621" operator="equal">
      <formula>"未完成"</formula>
    </cfRule>
  </conditionalFormatting>
  <conditionalFormatting sqref="AR266:AT266">
    <cfRule type="cellIs" dxfId="0" priority="561" operator="equal">
      <formula>"未完成"</formula>
    </cfRule>
    <cfRule type="cellIs" dxfId="1" priority="546" operator="equal">
      <formula>"未完成"</formula>
    </cfRule>
  </conditionalFormatting>
  <conditionalFormatting sqref="R267:S267">
    <cfRule type="cellIs" dxfId="0" priority="680" operator="equal">
      <formula>"欠"</formula>
    </cfRule>
  </conditionalFormatting>
  <conditionalFormatting sqref="T267">
    <cfRule type="cellIs" dxfId="0" priority="440" operator="equal">
      <formula>"欠"</formula>
    </cfRule>
  </conditionalFormatting>
  <conditionalFormatting sqref="AC267">
    <cfRule type="cellIs" dxfId="0" priority="605" operator="equal">
      <formula>"未完成"</formula>
    </cfRule>
  </conditionalFormatting>
  <conditionalFormatting sqref="AG267">
    <cfRule type="cellIs" dxfId="0" priority="425" operator="equal">
      <formula>"未完成"</formula>
    </cfRule>
    <cfRule type="cellIs" dxfId="1" priority="410" operator="equal">
      <formula>"未完成"</formula>
    </cfRule>
  </conditionalFormatting>
  <conditionalFormatting sqref="AH267">
    <cfRule type="cellIs" dxfId="0" priority="590" operator="equal">
      <formula>"未完成"</formula>
    </cfRule>
    <cfRule type="cellIs" dxfId="1" priority="575" operator="equal">
      <formula>"未完成"</formula>
    </cfRule>
  </conditionalFormatting>
  <conditionalFormatting sqref="AI267">
    <cfRule type="cellIs" dxfId="0" priority="710" operator="equal">
      <formula>"未完成"</formula>
    </cfRule>
    <cfRule type="cellIs" dxfId="1" priority="695" operator="equal">
      <formula>"未完成"</formula>
    </cfRule>
  </conditionalFormatting>
  <conditionalFormatting sqref="AJ267">
    <cfRule type="cellIs" dxfId="0" priority="530" operator="equal">
      <formula>"未完成"</formula>
    </cfRule>
    <cfRule type="cellIs" dxfId="1" priority="515" operator="equal">
      <formula>"未完成"</formula>
    </cfRule>
  </conditionalFormatting>
  <conditionalFormatting sqref="AK267">
    <cfRule type="cellIs" dxfId="0" priority="500" operator="equal">
      <formula>"未完成"</formula>
    </cfRule>
    <cfRule type="cellIs" dxfId="1" priority="485" operator="equal">
      <formula>"未完成"</formula>
    </cfRule>
  </conditionalFormatting>
  <conditionalFormatting sqref="AN267">
    <cfRule type="cellIs" dxfId="0" priority="665" operator="equal">
      <formula>"未完成"</formula>
    </cfRule>
    <cfRule type="cellIs" dxfId="1" priority="650" operator="equal">
      <formula>"未完成"</formula>
    </cfRule>
  </conditionalFormatting>
  <conditionalFormatting sqref="AO267">
    <cfRule type="cellIs" dxfId="0" priority="470" operator="equal">
      <formula>"未完成"</formula>
    </cfRule>
    <cfRule type="cellIs" dxfId="1" priority="455" operator="equal">
      <formula>"未完成"</formula>
    </cfRule>
  </conditionalFormatting>
  <conditionalFormatting sqref="AQ267">
    <cfRule type="cellIs" dxfId="0" priority="635" operator="equal">
      <formula>"未完成"</formula>
    </cfRule>
    <cfRule type="cellIs" dxfId="1" priority="620" operator="equal">
      <formula>"未完成"</formula>
    </cfRule>
  </conditionalFormatting>
  <conditionalFormatting sqref="AR267:AT267">
    <cfRule type="cellIs" dxfId="0" priority="560" operator="equal">
      <formula>"未完成"</formula>
    </cfRule>
    <cfRule type="cellIs" dxfId="1" priority="545" operator="equal">
      <formula>"未完成"</formula>
    </cfRule>
  </conditionalFormatting>
  <conditionalFormatting sqref="R268:S268">
    <cfRule type="cellIs" dxfId="0" priority="679" operator="equal">
      <formula>"欠"</formula>
    </cfRule>
  </conditionalFormatting>
  <conditionalFormatting sqref="T268">
    <cfRule type="cellIs" dxfId="0" priority="439" operator="equal">
      <formula>"欠"</formula>
    </cfRule>
  </conditionalFormatting>
  <conditionalFormatting sqref="AC268">
    <cfRule type="cellIs" dxfId="0" priority="604" operator="equal">
      <formula>"未完成"</formula>
    </cfRule>
  </conditionalFormatting>
  <conditionalFormatting sqref="AG268">
    <cfRule type="cellIs" dxfId="0" priority="424" operator="equal">
      <formula>"未完成"</formula>
    </cfRule>
    <cfRule type="cellIs" dxfId="1" priority="409" operator="equal">
      <formula>"未完成"</formula>
    </cfRule>
  </conditionalFormatting>
  <conditionalFormatting sqref="AH268">
    <cfRule type="cellIs" dxfId="0" priority="589" operator="equal">
      <formula>"未完成"</formula>
    </cfRule>
    <cfRule type="cellIs" dxfId="1" priority="574" operator="equal">
      <formula>"未完成"</formula>
    </cfRule>
  </conditionalFormatting>
  <conditionalFormatting sqref="AI268">
    <cfRule type="cellIs" dxfId="0" priority="709" operator="equal">
      <formula>"未完成"</formula>
    </cfRule>
    <cfRule type="cellIs" dxfId="1" priority="694" operator="equal">
      <formula>"未完成"</formula>
    </cfRule>
  </conditionalFormatting>
  <conditionalFormatting sqref="AJ268">
    <cfRule type="cellIs" dxfId="0" priority="529" operator="equal">
      <formula>"未完成"</formula>
    </cfRule>
    <cfRule type="cellIs" dxfId="1" priority="514" operator="equal">
      <formula>"未完成"</formula>
    </cfRule>
  </conditionalFormatting>
  <conditionalFormatting sqref="AK268">
    <cfRule type="cellIs" dxfId="0" priority="499" operator="equal">
      <formula>"未完成"</formula>
    </cfRule>
    <cfRule type="cellIs" dxfId="1" priority="484" operator="equal">
      <formula>"未完成"</formula>
    </cfRule>
  </conditionalFormatting>
  <conditionalFormatting sqref="AN268">
    <cfRule type="cellIs" dxfId="0" priority="664" operator="equal">
      <formula>"未完成"</formula>
    </cfRule>
    <cfRule type="cellIs" dxfId="1" priority="649" operator="equal">
      <formula>"未完成"</formula>
    </cfRule>
  </conditionalFormatting>
  <conditionalFormatting sqref="AO268">
    <cfRule type="cellIs" dxfId="0" priority="469" operator="equal">
      <formula>"未完成"</formula>
    </cfRule>
    <cfRule type="cellIs" dxfId="1" priority="454" operator="equal">
      <formula>"未完成"</formula>
    </cfRule>
  </conditionalFormatting>
  <conditionalFormatting sqref="AQ268">
    <cfRule type="cellIs" dxfId="0" priority="634" operator="equal">
      <formula>"未完成"</formula>
    </cfRule>
    <cfRule type="cellIs" dxfId="1" priority="619" operator="equal">
      <formula>"未完成"</formula>
    </cfRule>
  </conditionalFormatting>
  <conditionalFormatting sqref="AR268:AT268">
    <cfRule type="cellIs" dxfId="0" priority="559" operator="equal">
      <formula>"未完成"</formula>
    </cfRule>
    <cfRule type="cellIs" dxfId="1" priority="544" operator="equal">
      <formula>"未完成"</formula>
    </cfRule>
  </conditionalFormatting>
  <conditionalFormatting sqref="R269:S269">
    <cfRule type="cellIs" dxfId="0" priority="678" operator="equal">
      <formula>"欠"</formula>
    </cfRule>
  </conditionalFormatting>
  <conditionalFormatting sqref="T269">
    <cfRule type="cellIs" dxfId="0" priority="438" operator="equal">
      <formula>"欠"</formula>
    </cfRule>
  </conditionalFormatting>
  <conditionalFormatting sqref="AC269">
    <cfRule type="cellIs" dxfId="0" priority="603" operator="equal">
      <formula>"未完成"</formula>
    </cfRule>
  </conditionalFormatting>
  <conditionalFormatting sqref="AG269">
    <cfRule type="cellIs" dxfId="0" priority="423" operator="equal">
      <formula>"未完成"</formula>
    </cfRule>
    <cfRule type="cellIs" dxfId="1" priority="408" operator="equal">
      <formula>"未完成"</formula>
    </cfRule>
  </conditionalFormatting>
  <conditionalFormatting sqref="AH269">
    <cfRule type="cellIs" dxfId="0" priority="588" operator="equal">
      <formula>"未完成"</formula>
    </cfRule>
    <cfRule type="cellIs" dxfId="1" priority="573" operator="equal">
      <formula>"未完成"</formula>
    </cfRule>
  </conditionalFormatting>
  <conditionalFormatting sqref="AI269">
    <cfRule type="cellIs" dxfId="0" priority="708" operator="equal">
      <formula>"未完成"</formula>
    </cfRule>
    <cfRule type="cellIs" dxfId="1" priority="693" operator="equal">
      <formula>"未完成"</formula>
    </cfRule>
  </conditionalFormatting>
  <conditionalFormatting sqref="AJ269">
    <cfRule type="cellIs" dxfId="0" priority="528" operator="equal">
      <formula>"未完成"</formula>
    </cfRule>
    <cfRule type="cellIs" dxfId="1" priority="513" operator="equal">
      <formula>"未完成"</formula>
    </cfRule>
  </conditionalFormatting>
  <conditionalFormatting sqref="AK269">
    <cfRule type="cellIs" dxfId="0" priority="498" operator="equal">
      <formula>"未完成"</formula>
    </cfRule>
    <cfRule type="cellIs" dxfId="1" priority="483" operator="equal">
      <formula>"未完成"</formula>
    </cfRule>
  </conditionalFormatting>
  <conditionalFormatting sqref="AN269">
    <cfRule type="cellIs" dxfId="0" priority="663" operator="equal">
      <formula>"未完成"</formula>
    </cfRule>
    <cfRule type="cellIs" dxfId="1" priority="648" operator="equal">
      <formula>"未完成"</formula>
    </cfRule>
  </conditionalFormatting>
  <conditionalFormatting sqref="AO269">
    <cfRule type="cellIs" dxfId="0" priority="468" operator="equal">
      <formula>"未完成"</formula>
    </cfRule>
    <cfRule type="cellIs" dxfId="1" priority="453" operator="equal">
      <formula>"未完成"</formula>
    </cfRule>
  </conditionalFormatting>
  <conditionalFormatting sqref="AQ269">
    <cfRule type="cellIs" dxfId="0" priority="633" operator="equal">
      <formula>"未完成"</formula>
    </cfRule>
    <cfRule type="cellIs" dxfId="1" priority="618" operator="equal">
      <formula>"未完成"</formula>
    </cfRule>
  </conditionalFormatting>
  <conditionalFormatting sqref="AR269:AT269">
    <cfRule type="cellIs" dxfId="0" priority="558" operator="equal">
      <formula>"未完成"</formula>
    </cfRule>
    <cfRule type="cellIs" dxfId="1" priority="543" operator="equal">
      <formula>"未完成"</formula>
    </cfRule>
  </conditionalFormatting>
  <conditionalFormatting sqref="R270:S270">
    <cfRule type="cellIs" dxfId="0" priority="677" operator="equal">
      <formula>"欠"</formula>
    </cfRule>
  </conditionalFormatting>
  <conditionalFormatting sqref="T270">
    <cfRule type="cellIs" dxfId="0" priority="437" operator="equal">
      <formula>"欠"</formula>
    </cfRule>
  </conditionalFormatting>
  <conditionalFormatting sqref="AC270">
    <cfRule type="cellIs" dxfId="0" priority="602" operator="equal">
      <formula>"未完成"</formula>
    </cfRule>
  </conditionalFormatting>
  <conditionalFormatting sqref="AG270">
    <cfRule type="cellIs" dxfId="0" priority="422" operator="equal">
      <formula>"未完成"</formula>
    </cfRule>
    <cfRule type="cellIs" dxfId="1" priority="407" operator="equal">
      <formula>"未完成"</formula>
    </cfRule>
  </conditionalFormatting>
  <conditionalFormatting sqref="AH270">
    <cfRule type="cellIs" dxfId="0" priority="587" operator="equal">
      <formula>"未完成"</formula>
    </cfRule>
    <cfRule type="cellIs" dxfId="1" priority="572" operator="equal">
      <formula>"未完成"</formula>
    </cfRule>
  </conditionalFormatting>
  <conditionalFormatting sqref="AI270">
    <cfRule type="cellIs" dxfId="0" priority="707" operator="equal">
      <formula>"未完成"</formula>
    </cfRule>
    <cfRule type="cellIs" dxfId="1" priority="692" operator="equal">
      <formula>"未完成"</formula>
    </cfRule>
  </conditionalFormatting>
  <conditionalFormatting sqref="AJ270">
    <cfRule type="cellIs" dxfId="0" priority="527" operator="equal">
      <formula>"未完成"</formula>
    </cfRule>
    <cfRule type="cellIs" dxfId="1" priority="512" operator="equal">
      <formula>"未完成"</formula>
    </cfRule>
  </conditionalFormatting>
  <conditionalFormatting sqref="AK270">
    <cfRule type="cellIs" dxfId="0" priority="497" operator="equal">
      <formula>"未完成"</formula>
    </cfRule>
    <cfRule type="cellIs" dxfId="1" priority="482" operator="equal">
      <formula>"未完成"</formula>
    </cfRule>
  </conditionalFormatting>
  <conditionalFormatting sqref="AN270">
    <cfRule type="cellIs" dxfId="0" priority="662" operator="equal">
      <formula>"未完成"</formula>
    </cfRule>
    <cfRule type="cellIs" dxfId="1" priority="647" operator="equal">
      <formula>"未完成"</formula>
    </cfRule>
  </conditionalFormatting>
  <conditionalFormatting sqref="AO270">
    <cfRule type="cellIs" dxfId="0" priority="467" operator="equal">
      <formula>"未完成"</formula>
    </cfRule>
    <cfRule type="cellIs" dxfId="1" priority="452" operator="equal">
      <formula>"未完成"</formula>
    </cfRule>
  </conditionalFormatting>
  <conditionalFormatting sqref="AQ270">
    <cfRule type="cellIs" dxfId="0" priority="632" operator="equal">
      <formula>"未完成"</formula>
    </cfRule>
    <cfRule type="cellIs" dxfId="1" priority="617" operator="equal">
      <formula>"未完成"</formula>
    </cfRule>
  </conditionalFormatting>
  <conditionalFormatting sqref="AR270:AT270">
    <cfRule type="cellIs" dxfId="0" priority="557" operator="equal">
      <formula>"未完成"</formula>
    </cfRule>
    <cfRule type="cellIs" dxfId="1" priority="542" operator="equal">
      <formula>"未完成"</formula>
    </cfRule>
  </conditionalFormatting>
  <conditionalFormatting sqref="R271:S271">
    <cfRule type="cellIs" dxfId="0" priority="676" operator="equal">
      <formula>"欠"</formula>
    </cfRule>
  </conditionalFormatting>
  <conditionalFormatting sqref="T271">
    <cfRule type="cellIs" dxfId="0" priority="436" operator="equal">
      <formula>"欠"</formula>
    </cfRule>
  </conditionalFormatting>
  <conditionalFormatting sqref="AC271">
    <cfRule type="cellIs" dxfId="0" priority="601" operator="equal">
      <formula>"未完成"</formula>
    </cfRule>
  </conditionalFormatting>
  <conditionalFormatting sqref="AG271">
    <cfRule type="cellIs" dxfId="0" priority="421" operator="equal">
      <formula>"未完成"</formula>
    </cfRule>
    <cfRule type="cellIs" dxfId="1" priority="406" operator="equal">
      <formula>"未完成"</formula>
    </cfRule>
  </conditionalFormatting>
  <conditionalFormatting sqref="AH271">
    <cfRule type="cellIs" dxfId="0" priority="586" operator="equal">
      <formula>"未完成"</formula>
    </cfRule>
    <cfRule type="cellIs" dxfId="1" priority="571" operator="equal">
      <formula>"未完成"</formula>
    </cfRule>
  </conditionalFormatting>
  <conditionalFormatting sqref="AI271">
    <cfRule type="cellIs" dxfId="0" priority="706" operator="equal">
      <formula>"未完成"</formula>
    </cfRule>
    <cfRule type="cellIs" dxfId="1" priority="691" operator="equal">
      <formula>"未完成"</formula>
    </cfRule>
  </conditionalFormatting>
  <conditionalFormatting sqref="AJ271">
    <cfRule type="cellIs" dxfId="0" priority="526" operator="equal">
      <formula>"未完成"</formula>
    </cfRule>
    <cfRule type="cellIs" dxfId="1" priority="511" operator="equal">
      <formula>"未完成"</formula>
    </cfRule>
  </conditionalFormatting>
  <conditionalFormatting sqref="AK271">
    <cfRule type="cellIs" dxfId="0" priority="496" operator="equal">
      <formula>"未完成"</formula>
    </cfRule>
    <cfRule type="cellIs" dxfId="1" priority="481" operator="equal">
      <formula>"未完成"</formula>
    </cfRule>
  </conditionalFormatting>
  <conditionalFormatting sqref="AN271">
    <cfRule type="cellIs" dxfId="0" priority="661" operator="equal">
      <formula>"未完成"</formula>
    </cfRule>
    <cfRule type="cellIs" dxfId="1" priority="646" operator="equal">
      <formula>"未完成"</formula>
    </cfRule>
  </conditionalFormatting>
  <conditionalFormatting sqref="AO271">
    <cfRule type="cellIs" dxfId="0" priority="466" operator="equal">
      <formula>"未完成"</formula>
    </cfRule>
    <cfRule type="cellIs" dxfId="1" priority="451" operator="equal">
      <formula>"未完成"</formula>
    </cfRule>
  </conditionalFormatting>
  <conditionalFormatting sqref="AQ271">
    <cfRule type="cellIs" dxfId="0" priority="631" operator="equal">
      <formula>"未完成"</formula>
    </cfRule>
    <cfRule type="cellIs" dxfId="1" priority="616" operator="equal">
      <formula>"未完成"</formula>
    </cfRule>
  </conditionalFormatting>
  <conditionalFormatting sqref="AR271:AT271">
    <cfRule type="cellIs" dxfId="0" priority="556" operator="equal">
      <formula>"未完成"</formula>
    </cfRule>
    <cfRule type="cellIs" dxfId="1" priority="541" operator="equal">
      <formula>"未完成"</formula>
    </cfRule>
  </conditionalFormatting>
  <conditionalFormatting sqref="R272">
    <cfRule type="cellIs" dxfId="0" priority="766" operator="equal">
      <formula>"欠"</formula>
    </cfRule>
  </conditionalFormatting>
  <conditionalFormatting sqref="T272">
    <cfRule type="cellIs" dxfId="0" priority="756" operator="equal">
      <formula>"欠"</formula>
    </cfRule>
  </conditionalFormatting>
  <conditionalFormatting sqref="AC272">
    <cfRule type="cellIs" dxfId="0" priority="765" operator="equal">
      <formula>"未完成"</formula>
    </cfRule>
  </conditionalFormatting>
  <conditionalFormatting sqref="AG272:AH272">
    <cfRule type="cellIs" dxfId="0" priority="764" operator="equal">
      <formula>"未完成"</formula>
    </cfRule>
    <cfRule type="cellIs" dxfId="1" priority="763" operator="equal">
      <formula>"未完成"</formula>
    </cfRule>
  </conditionalFormatting>
  <conditionalFormatting sqref="AJ272">
    <cfRule type="cellIs" dxfId="0" priority="760" operator="equal">
      <formula>"未完成"</formula>
    </cfRule>
    <cfRule type="cellIs" dxfId="1" priority="759" operator="equal">
      <formula>"未完成"</formula>
    </cfRule>
  </conditionalFormatting>
  <conditionalFormatting sqref="AK272">
    <cfRule type="cellIs" dxfId="0" priority="773" operator="equal">
      <formula>"未完成"</formula>
    </cfRule>
    <cfRule type="cellIs" dxfId="1" priority="772" operator="equal">
      <formula>"未完成"</formula>
    </cfRule>
  </conditionalFormatting>
  <conditionalFormatting sqref="AR272:AS272">
    <cfRule type="cellIs" dxfId="0" priority="762" operator="equal">
      <formula>"未完成"</formula>
    </cfRule>
    <cfRule type="cellIs" dxfId="1" priority="761" operator="equal">
      <formula>"未完成"</formula>
    </cfRule>
  </conditionalFormatting>
  <conditionalFormatting sqref="R273">
    <cfRule type="cellIs" dxfId="0" priority="781" operator="equal">
      <formula>"欠"</formula>
    </cfRule>
  </conditionalFormatting>
  <conditionalFormatting sqref="T273">
    <cfRule type="cellIs" dxfId="0" priority="733" operator="equal">
      <formula>"欠"</formula>
    </cfRule>
  </conditionalFormatting>
  <conditionalFormatting sqref="AC273">
    <cfRule type="cellIs" dxfId="0" priority="788" operator="equal">
      <formula>"未完成"</formula>
    </cfRule>
  </conditionalFormatting>
  <conditionalFormatting sqref="AG273">
    <cfRule type="cellIs" dxfId="1" priority="786" operator="equal">
      <formula>"未完成"</formula>
    </cfRule>
    <cfRule type="cellIs" dxfId="0" priority="787" operator="equal">
      <formula>"未完成"</formula>
    </cfRule>
  </conditionalFormatting>
  <conditionalFormatting sqref="AH273">
    <cfRule type="cellIs" dxfId="1" priority="779" operator="equal">
      <formula>"未完成"</formula>
    </cfRule>
    <cfRule type="cellIs" dxfId="0" priority="780" operator="equal">
      <formula>"未完成"</formula>
    </cfRule>
  </conditionalFormatting>
  <conditionalFormatting sqref="AK273">
    <cfRule type="cellIs" dxfId="0" priority="732" operator="equal">
      <formula>"未完成"</formula>
    </cfRule>
    <cfRule type="cellIs" dxfId="1" priority="731" operator="equal">
      <formula>"未完成"</formula>
    </cfRule>
  </conditionalFormatting>
  <conditionalFormatting sqref="AN273">
    <cfRule type="cellIs" dxfId="1" priority="789" operator="equal">
      <formula>"未完成"</formula>
    </cfRule>
    <cfRule type="cellIs" dxfId="0" priority="790" operator="equal">
      <formula>"未完成"</formula>
    </cfRule>
  </conditionalFormatting>
  <conditionalFormatting sqref="AO273">
    <cfRule type="cellIs" dxfId="1" priority="782" operator="equal">
      <formula>"未完成"</formula>
    </cfRule>
    <cfRule type="cellIs" dxfId="0" priority="783" operator="equal">
      <formula>"未完成"</formula>
    </cfRule>
  </conditionalFormatting>
  <conditionalFormatting sqref="AR273:AT273">
    <cfRule type="cellIs" dxfId="1" priority="784" operator="equal">
      <formula>"未完成"</formula>
    </cfRule>
    <cfRule type="cellIs" dxfId="0" priority="785" operator="equal">
      <formula>"未完成"</formula>
    </cfRule>
  </conditionalFormatting>
  <conditionalFormatting sqref="R274">
    <cfRule type="cellIs" dxfId="0" priority="898" operator="equal">
      <formula>"欠"</formula>
    </cfRule>
  </conditionalFormatting>
  <conditionalFormatting sqref="S274">
    <cfRule type="cellIs" dxfId="0" priority="869" operator="equal">
      <formula>"欠"</formula>
    </cfRule>
  </conditionalFormatting>
  <conditionalFormatting sqref="T274">
    <cfRule type="cellIs" dxfId="0" priority="892" operator="equal">
      <formula>"欠"</formula>
    </cfRule>
  </conditionalFormatting>
  <conditionalFormatting sqref="AG274">
    <cfRule type="cellIs" dxfId="1" priority="903" operator="equal">
      <formula>"未完成"</formula>
    </cfRule>
    <cfRule type="cellIs" dxfId="0" priority="904" operator="equal">
      <formula>"未完成"</formula>
    </cfRule>
  </conditionalFormatting>
  <conditionalFormatting sqref="AN274">
    <cfRule type="cellIs" dxfId="1" priority="906" operator="equal">
      <formula>"未完成"</formula>
    </cfRule>
    <cfRule type="cellIs" dxfId="0" priority="907" operator="equal">
      <formula>"未完成"</formula>
    </cfRule>
  </conditionalFormatting>
  <conditionalFormatting sqref="AO274">
    <cfRule type="cellIs" dxfId="1" priority="899" operator="equal">
      <formula>"未完成"</formula>
    </cfRule>
    <cfRule type="cellIs" dxfId="0" priority="900" operator="equal">
      <formula>"未完成"</formula>
    </cfRule>
  </conditionalFormatting>
  <conditionalFormatting sqref="AC275">
    <cfRule type="cellIs" dxfId="0" priority="744" operator="equal">
      <formula>"未完成"</formula>
    </cfRule>
  </conditionalFormatting>
  <conditionalFormatting sqref="AG275">
    <cfRule type="cellIs" dxfId="0" priority="404" operator="equal">
      <formula>"未完成"</formula>
    </cfRule>
    <cfRule type="cellIs" dxfId="1" priority="403" operator="equal">
      <formula>"未完成"</formula>
    </cfRule>
  </conditionalFormatting>
  <conditionalFormatting sqref="AH275">
    <cfRule type="cellIs" dxfId="0" priority="736" operator="equal">
      <formula>"未完成"</formula>
    </cfRule>
    <cfRule type="cellIs" dxfId="1" priority="735" operator="equal">
      <formula>"未完成"</formula>
    </cfRule>
  </conditionalFormatting>
  <conditionalFormatting sqref="AJ275">
    <cfRule type="cellIs" dxfId="0" priority="755" operator="equal">
      <formula>"未完成"</formula>
    </cfRule>
    <cfRule type="cellIs" dxfId="1" priority="754" operator="equal">
      <formula>"未完成"</formula>
    </cfRule>
  </conditionalFormatting>
  <conditionalFormatting sqref="AK275">
    <cfRule type="cellIs" dxfId="0" priority="753" operator="equal">
      <formula>"未完成"</formula>
    </cfRule>
    <cfRule type="cellIs" dxfId="1" priority="752" operator="equal">
      <formula>"未完成"</formula>
    </cfRule>
  </conditionalFormatting>
  <conditionalFormatting sqref="AR275:AT275">
    <cfRule type="cellIs" dxfId="0" priority="741" operator="equal">
      <formula>"未完成"</formula>
    </cfRule>
    <cfRule type="cellIs" dxfId="1" priority="740" operator="equal">
      <formula>"未完成"</formula>
    </cfRule>
  </conditionalFormatting>
  <conditionalFormatting sqref="AG276">
    <cfRule type="cellIs" dxfId="0" priority="402" operator="equal">
      <formula>"未完成"</formula>
    </cfRule>
    <cfRule type="cellIs" dxfId="1" priority="401" operator="equal">
      <formula>"未完成"</formula>
    </cfRule>
  </conditionalFormatting>
  <conditionalFormatting sqref="AG277">
    <cfRule type="cellIs" dxfId="0" priority="400" operator="equal">
      <formula>"未完成"</formula>
    </cfRule>
    <cfRule type="cellIs" dxfId="1" priority="399" operator="equal">
      <formula>"未完成"</formula>
    </cfRule>
  </conditionalFormatting>
  <conditionalFormatting sqref="AG278">
    <cfRule type="cellIs" dxfId="0" priority="398" operator="equal">
      <formula>"未完成"</formula>
    </cfRule>
    <cfRule type="cellIs" dxfId="1" priority="397" operator="equal">
      <formula>"未完成"</formula>
    </cfRule>
  </conditionalFormatting>
  <conditionalFormatting sqref="R287">
    <cfRule type="cellIs" dxfId="0" priority="31" operator="equal">
      <formula>"欠"</formula>
    </cfRule>
  </conditionalFormatting>
  <conditionalFormatting sqref="S287">
    <cfRule type="cellIs" dxfId="0" priority="25" operator="equal">
      <formula>"欠"</formula>
    </cfRule>
  </conditionalFormatting>
  <conditionalFormatting sqref="T287">
    <cfRule type="containsText" dxfId="2" priority="24" operator="between" text="欠">
      <formula>NOT(ISERROR(SEARCH("欠",T287)))</formula>
    </cfRule>
    <cfRule type="cellIs" dxfId="0" priority="26" operator="equal">
      <formula>"欠"</formula>
    </cfRule>
  </conditionalFormatting>
  <conditionalFormatting sqref="AC287">
    <cfRule type="cellIs" dxfId="0" priority="38" operator="equal">
      <formula>"未完成"</formula>
    </cfRule>
  </conditionalFormatting>
  <conditionalFormatting sqref="AG287">
    <cfRule type="cellIs" dxfId="1" priority="36" operator="equal">
      <formula>"未完成"</formula>
    </cfRule>
    <cfRule type="cellIs" dxfId="0" priority="37" operator="equal">
      <formula>"未完成"</formula>
    </cfRule>
  </conditionalFormatting>
  <conditionalFormatting sqref="AH287">
    <cfRule type="cellIs" dxfId="1" priority="29" operator="equal">
      <formula>"未完成"</formula>
    </cfRule>
    <cfRule type="cellIs" dxfId="0" priority="30" operator="equal">
      <formula>"未完成"</formula>
    </cfRule>
  </conditionalFormatting>
  <conditionalFormatting sqref="AJ287">
    <cfRule type="cellIs" dxfId="1" priority="27" operator="equal">
      <formula>"未完成"</formula>
    </cfRule>
    <cfRule type="cellIs" dxfId="0" priority="28" operator="equal">
      <formula>"未完成"</formula>
    </cfRule>
  </conditionalFormatting>
  <conditionalFormatting sqref="AK287">
    <cfRule type="cellIs" dxfId="1" priority="45" operator="equal">
      <formula>"未完成"</formula>
    </cfRule>
    <cfRule type="cellIs" dxfId="0" priority="46" operator="equal">
      <formula>"未完成"</formula>
    </cfRule>
  </conditionalFormatting>
  <conditionalFormatting sqref="AN287">
    <cfRule type="cellIs" dxfId="1" priority="39" operator="equal">
      <formula>"未完成"</formula>
    </cfRule>
    <cfRule type="cellIs" dxfId="0" priority="40" operator="equal">
      <formula>"未完成"</formula>
    </cfRule>
  </conditionalFormatting>
  <conditionalFormatting sqref="AO287">
    <cfRule type="cellIs" dxfId="1" priority="32" operator="equal">
      <formula>"未完成"</formula>
    </cfRule>
    <cfRule type="cellIs" dxfId="0" priority="33" operator="equal">
      <formula>"未完成"</formula>
    </cfRule>
  </conditionalFormatting>
  <conditionalFormatting sqref="AQ287">
    <cfRule type="cellIs" dxfId="1" priority="41" operator="equal">
      <formula>"未完成"</formula>
    </cfRule>
    <cfRule type="cellIs" dxfId="0" priority="42" operator="equal">
      <formula>"未完成"</formula>
    </cfRule>
  </conditionalFormatting>
  <conditionalFormatting sqref="AR287:AT287">
    <cfRule type="cellIs" dxfId="1" priority="34" operator="equal">
      <formula>"未完成"</formula>
    </cfRule>
    <cfRule type="cellIs" dxfId="0" priority="35" operator="equal">
      <formula>"未完成"</formula>
    </cfRule>
  </conditionalFormatting>
  <conditionalFormatting sqref="R291">
    <cfRule type="cellIs" dxfId="0" priority="54" operator="equal">
      <formula>"欠"</formula>
    </cfRule>
  </conditionalFormatting>
  <conditionalFormatting sqref="S291">
    <cfRule type="cellIs" dxfId="0" priority="48" operator="equal">
      <formula>"欠"</formula>
    </cfRule>
  </conditionalFormatting>
  <conditionalFormatting sqref="T291">
    <cfRule type="containsText" dxfId="2" priority="47" operator="between" text="欠">
      <formula>NOT(ISERROR(SEARCH("欠",T291)))</formula>
    </cfRule>
    <cfRule type="cellIs" dxfId="0" priority="49" operator="equal">
      <formula>"欠"</formula>
    </cfRule>
  </conditionalFormatting>
  <conditionalFormatting sqref="AC291">
    <cfRule type="cellIs" dxfId="0" priority="61" operator="equal">
      <formula>"未完成"</formula>
    </cfRule>
  </conditionalFormatting>
  <conditionalFormatting sqref="AG291">
    <cfRule type="cellIs" dxfId="1" priority="59" operator="equal">
      <formula>"未完成"</formula>
    </cfRule>
    <cfRule type="cellIs" dxfId="0" priority="60" operator="equal">
      <formula>"未完成"</formula>
    </cfRule>
  </conditionalFormatting>
  <conditionalFormatting sqref="AH291">
    <cfRule type="cellIs" dxfId="1" priority="52" operator="equal">
      <formula>"未完成"</formula>
    </cfRule>
    <cfRule type="cellIs" dxfId="0" priority="53" operator="equal">
      <formula>"未完成"</formula>
    </cfRule>
  </conditionalFormatting>
  <conditionalFormatting sqref="AI291">
    <cfRule type="cellIs" dxfId="1" priority="66" operator="equal">
      <formula>"未完成"</formula>
    </cfRule>
    <cfRule type="cellIs" dxfId="0" priority="67" operator="equal">
      <formula>"未完成"</formula>
    </cfRule>
  </conditionalFormatting>
  <conditionalFormatting sqref="AJ291">
    <cfRule type="cellIs" dxfId="1" priority="50" operator="equal">
      <formula>"未完成"</formula>
    </cfRule>
    <cfRule type="cellIs" dxfId="0" priority="51" operator="equal">
      <formula>"未完成"</formula>
    </cfRule>
  </conditionalFormatting>
  <conditionalFormatting sqref="AK291">
    <cfRule type="cellIs" dxfId="1" priority="68" operator="equal">
      <formula>"未完成"</formula>
    </cfRule>
    <cfRule type="cellIs" dxfId="0" priority="69" operator="equal">
      <formula>"未完成"</formula>
    </cfRule>
  </conditionalFormatting>
  <conditionalFormatting sqref="AN291">
    <cfRule type="cellIs" dxfId="1" priority="62" operator="equal">
      <formula>"未完成"</formula>
    </cfRule>
    <cfRule type="cellIs" dxfId="0" priority="63" operator="equal">
      <formula>"未完成"</formula>
    </cfRule>
  </conditionalFormatting>
  <conditionalFormatting sqref="AO291">
    <cfRule type="cellIs" dxfId="1" priority="55" operator="equal">
      <formula>"未完成"</formula>
    </cfRule>
    <cfRule type="cellIs" dxfId="0" priority="56" operator="equal">
      <formula>"未完成"</formula>
    </cfRule>
  </conditionalFormatting>
  <conditionalFormatting sqref="AQ291">
    <cfRule type="cellIs" dxfId="1" priority="64" operator="equal">
      <formula>"未完成"</formula>
    </cfRule>
    <cfRule type="cellIs" dxfId="0" priority="65" operator="equal">
      <formula>"未完成"</formula>
    </cfRule>
  </conditionalFormatting>
  <conditionalFormatting sqref="AR291:AT291">
    <cfRule type="cellIs" dxfId="1" priority="57" operator="equal">
      <formula>"未完成"</formula>
    </cfRule>
    <cfRule type="cellIs" dxfId="0" priority="58" operator="equal">
      <formula>"未完成"</formula>
    </cfRule>
  </conditionalFormatting>
  <conditionalFormatting sqref="AC292">
    <cfRule type="cellIs" dxfId="0" priority="306" operator="equal">
      <formula>"未完成"</formula>
    </cfRule>
  </conditionalFormatting>
  <conditionalFormatting sqref="AG292:AH292">
    <cfRule type="cellIs" dxfId="1" priority="288" operator="equal">
      <formula>"未完成"</formula>
    </cfRule>
    <cfRule type="cellIs" dxfId="0" priority="297" operator="equal">
      <formula>"未完成"</formula>
    </cfRule>
  </conditionalFormatting>
  <conditionalFormatting sqref="AJ292">
    <cfRule type="cellIs" dxfId="1" priority="252" operator="equal">
      <formula>"未完成"</formula>
    </cfRule>
    <cfRule type="cellIs" dxfId="0" priority="261" operator="equal">
      <formula>"未完成"</formula>
    </cfRule>
  </conditionalFormatting>
  <conditionalFormatting sqref="AN292">
    <cfRule type="cellIs" dxfId="1" priority="324" operator="equal">
      <formula>"未完成"</formula>
    </cfRule>
    <cfRule type="cellIs" dxfId="0" priority="333" operator="equal">
      <formula>"未完成"</formula>
    </cfRule>
  </conditionalFormatting>
  <conditionalFormatting sqref="AO292">
    <cfRule type="cellIs" dxfId="1" priority="234" operator="equal">
      <formula>"未完成"</formula>
    </cfRule>
    <cfRule type="cellIs" dxfId="0" priority="243" operator="equal">
      <formula>"未完成"</formula>
    </cfRule>
  </conditionalFormatting>
  <conditionalFormatting sqref="AR292:AT292">
    <cfRule type="cellIs" dxfId="1" priority="270" operator="equal">
      <formula>"未完成"</formula>
    </cfRule>
    <cfRule type="cellIs" dxfId="0" priority="279" operator="equal">
      <formula>"未完成"</formula>
    </cfRule>
  </conditionalFormatting>
  <conditionalFormatting sqref="AC293">
    <cfRule type="cellIs" dxfId="0" priority="305" operator="equal">
      <formula>"未完成"</formula>
    </cfRule>
  </conditionalFormatting>
  <conditionalFormatting sqref="AG293:AH293">
    <cfRule type="cellIs" dxfId="1" priority="287" operator="equal">
      <formula>"未完成"</formula>
    </cfRule>
    <cfRule type="cellIs" dxfId="0" priority="296" operator="equal">
      <formula>"未完成"</formula>
    </cfRule>
  </conditionalFormatting>
  <conditionalFormatting sqref="AJ293">
    <cfRule type="cellIs" dxfId="1" priority="251" operator="equal">
      <formula>"未完成"</formula>
    </cfRule>
    <cfRule type="cellIs" dxfId="0" priority="260" operator="equal">
      <formula>"未完成"</formula>
    </cfRule>
  </conditionalFormatting>
  <conditionalFormatting sqref="AN293">
    <cfRule type="cellIs" dxfId="1" priority="323" operator="equal">
      <formula>"未完成"</formula>
    </cfRule>
    <cfRule type="cellIs" dxfId="0" priority="332" operator="equal">
      <formula>"未完成"</formula>
    </cfRule>
  </conditionalFormatting>
  <conditionalFormatting sqref="AO293">
    <cfRule type="cellIs" dxfId="1" priority="233" operator="equal">
      <formula>"未完成"</formula>
    </cfRule>
    <cfRule type="cellIs" dxfId="0" priority="242" operator="equal">
      <formula>"未完成"</formula>
    </cfRule>
  </conditionalFormatting>
  <conditionalFormatting sqref="AR293:AT293">
    <cfRule type="cellIs" dxfId="1" priority="269" operator="equal">
      <formula>"未完成"</formula>
    </cfRule>
    <cfRule type="cellIs" dxfId="0" priority="278" operator="equal">
      <formula>"未完成"</formula>
    </cfRule>
  </conditionalFormatting>
  <conditionalFormatting sqref="AC294">
    <cfRule type="cellIs" dxfId="0" priority="304" operator="equal">
      <formula>"未完成"</formula>
    </cfRule>
  </conditionalFormatting>
  <conditionalFormatting sqref="AG294:AH294">
    <cfRule type="cellIs" dxfId="1" priority="286" operator="equal">
      <formula>"未完成"</formula>
    </cfRule>
    <cfRule type="cellIs" dxfId="0" priority="295" operator="equal">
      <formula>"未完成"</formula>
    </cfRule>
  </conditionalFormatting>
  <conditionalFormatting sqref="AJ294">
    <cfRule type="cellIs" dxfId="1" priority="250" operator="equal">
      <formula>"未完成"</formula>
    </cfRule>
    <cfRule type="cellIs" dxfId="0" priority="259" operator="equal">
      <formula>"未完成"</formula>
    </cfRule>
  </conditionalFormatting>
  <conditionalFormatting sqref="AN294">
    <cfRule type="cellIs" dxfId="1" priority="322" operator="equal">
      <formula>"未完成"</formula>
    </cfRule>
    <cfRule type="cellIs" dxfId="0" priority="331" operator="equal">
      <formula>"未完成"</formula>
    </cfRule>
  </conditionalFormatting>
  <conditionalFormatting sqref="AO294">
    <cfRule type="cellIs" dxfId="1" priority="232" operator="equal">
      <formula>"未完成"</formula>
    </cfRule>
    <cfRule type="cellIs" dxfId="0" priority="241" operator="equal">
      <formula>"未完成"</formula>
    </cfRule>
  </conditionalFormatting>
  <conditionalFormatting sqref="AR294:AT294">
    <cfRule type="cellIs" dxfId="1" priority="268" operator="equal">
      <formula>"未完成"</formula>
    </cfRule>
    <cfRule type="cellIs" dxfId="0" priority="277" operator="equal">
      <formula>"未完成"</formula>
    </cfRule>
  </conditionalFormatting>
  <conditionalFormatting sqref="AC295">
    <cfRule type="cellIs" dxfId="0" priority="303" operator="equal">
      <formula>"未完成"</formula>
    </cfRule>
  </conditionalFormatting>
  <conditionalFormatting sqref="AG295:AH295">
    <cfRule type="cellIs" dxfId="1" priority="285" operator="equal">
      <formula>"未完成"</formula>
    </cfRule>
    <cfRule type="cellIs" dxfId="0" priority="294" operator="equal">
      <formula>"未完成"</formula>
    </cfRule>
  </conditionalFormatting>
  <conditionalFormatting sqref="AJ295">
    <cfRule type="cellIs" dxfId="1" priority="249" operator="equal">
      <formula>"未完成"</formula>
    </cfRule>
    <cfRule type="cellIs" dxfId="0" priority="258" operator="equal">
      <formula>"未完成"</formula>
    </cfRule>
  </conditionalFormatting>
  <conditionalFormatting sqref="AN295">
    <cfRule type="cellIs" dxfId="1" priority="321" operator="equal">
      <formula>"未完成"</formula>
    </cfRule>
    <cfRule type="cellIs" dxfId="0" priority="330" operator="equal">
      <formula>"未完成"</formula>
    </cfRule>
  </conditionalFormatting>
  <conditionalFormatting sqref="AO295">
    <cfRule type="cellIs" dxfId="1" priority="231" operator="equal">
      <formula>"未完成"</formula>
    </cfRule>
    <cfRule type="cellIs" dxfId="0" priority="240" operator="equal">
      <formula>"未完成"</formula>
    </cfRule>
  </conditionalFormatting>
  <conditionalFormatting sqref="AR295:AT295">
    <cfRule type="cellIs" dxfId="1" priority="267" operator="equal">
      <formula>"未完成"</formula>
    </cfRule>
    <cfRule type="cellIs" dxfId="0" priority="276" operator="equal">
      <formula>"未完成"</formula>
    </cfRule>
  </conditionalFormatting>
  <conditionalFormatting sqref="AC296">
    <cfRule type="cellIs" dxfId="0" priority="302" operator="equal">
      <formula>"未完成"</formula>
    </cfRule>
  </conditionalFormatting>
  <conditionalFormatting sqref="AG296:AH296">
    <cfRule type="cellIs" dxfId="1" priority="284" operator="equal">
      <formula>"未完成"</formula>
    </cfRule>
    <cfRule type="cellIs" dxfId="0" priority="293" operator="equal">
      <formula>"未完成"</formula>
    </cfRule>
  </conditionalFormatting>
  <conditionalFormatting sqref="AJ296">
    <cfRule type="cellIs" dxfId="1" priority="248" operator="equal">
      <formula>"未完成"</formula>
    </cfRule>
    <cfRule type="cellIs" dxfId="0" priority="257" operator="equal">
      <formula>"未完成"</formula>
    </cfRule>
  </conditionalFormatting>
  <conditionalFormatting sqref="AN296">
    <cfRule type="cellIs" dxfId="1" priority="320" operator="equal">
      <formula>"未完成"</formula>
    </cfRule>
    <cfRule type="cellIs" dxfId="0" priority="329" operator="equal">
      <formula>"未完成"</formula>
    </cfRule>
  </conditionalFormatting>
  <conditionalFormatting sqref="AO296">
    <cfRule type="cellIs" dxfId="1" priority="230" operator="equal">
      <formula>"未完成"</formula>
    </cfRule>
    <cfRule type="cellIs" dxfId="0" priority="239" operator="equal">
      <formula>"未完成"</formula>
    </cfRule>
  </conditionalFormatting>
  <conditionalFormatting sqref="AR296:AT296">
    <cfRule type="cellIs" dxfId="1" priority="266" operator="equal">
      <formula>"未完成"</formula>
    </cfRule>
    <cfRule type="cellIs" dxfId="0" priority="275" operator="equal">
      <formula>"未完成"</formula>
    </cfRule>
  </conditionalFormatting>
  <conditionalFormatting sqref="AC297">
    <cfRule type="cellIs" dxfId="0" priority="301" operator="equal">
      <formula>"未完成"</formula>
    </cfRule>
  </conditionalFormatting>
  <conditionalFormatting sqref="AG297:AH297">
    <cfRule type="cellIs" dxfId="1" priority="283" operator="equal">
      <formula>"未完成"</formula>
    </cfRule>
    <cfRule type="cellIs" dxfId="0" priority="292" operator="equal">
      <formula>"未完成"</formula>
    </cfRule>
  </conditionalFormatting>
  <conditionalFormatting sqref="AJ297">
    <cfRule type="cellIs" dxfId="1" priority="247" operator="equal">
      <formula>"未完成"</formula>
    </cfRule>
    <cfRule type="cellIs" dxfId="0" priority="256" operator="equal">
      <formula>"未完成"</formula>
    </cfRule>
  </conditionalFormatting>
  <conditionalFormatting sqref="AN297">
    <cfRule type="cellIs" dxfId="1" priority="319" operator="equal">
      <formula>"未完成"</formula>
    </cfRule>
    <cfRule type="cellIs" dxfId="0" priority="328" operator="equal">
      <formula>"未完成"</formula>
    </cfRule>
  </conditionalFormatting>
  <conditionalFormatting sqref="AO297">
    <cfRule type="cellIs" dxfId="1" priority="229" operator="equal">
      <formula>"未完成"</formula>
    </cfRule>
    <cfRule type="cellIs" dxfId="0" priority="238" operator="equal">
      <formula>"未完成"</formula>
    </cfRule>
  </conditionalFormatting>
  <conditionalFormatting sqref="AR297:AT297">
    <cfRule type="cellIs" dxfId="1" priority="265" operator="equal">
      <formula>"未完成"</formula>
    </cfRule>
    <cfRule type="cellIs" dxfId="0" priority="274" operator="equal">
      <formula>"未完成"</formula>
    </cfRule>
  </conditionalFormatting>
  <conditionalFormatting sqref="AC298">
    <cfRule type="cellIs" dxfId="0" priority="300" operator="equal">
      <formula>"未完成"</formula>
    </cfRule>
  </conditionalFormatting>
  <conditionalFormatting sqref="AG298:AH298">
    <cfRule type="cellIs" dxfId="1" priority="282" operator="equal">
      <formula>"未完成"</formula>
    </cfRule>
    <cfRule type="cellIs" dxfId="0" priority="291" operator="equal">
      <formula>"未完成"</formula>
    </cfRule>
  </conditionalFormatting>
  <conditionalFormatting sqref="AJ298">
    <cfRule type="cellIs" dxfId="1" priority="246" operator="equal">
      <formula>"未完成"</formula>
    </cfRule>
    <cfRule type="cellIs" dxfId="0" priority="255" operator="equal">
      <formula>"未完成"</formula>
    </cfRule>
  </conditionalFormatting>
  <conditionalFormatting sqref="AN298">
    <cfRule type="cellIs" dxfId="1" priority="318" operator="equal">
      <formula>"未完成"</formula>
    </cfRule>
    <cfRule type="cellIs" dxfId="0" priority="327" operator="equal">
      <formula>"未完成"</formula>
    </cfRule>
  </conditionalFormatting>
  <conditionalFormatting sqref="AO298">
    <cfRule type="cellIs" dxfId="1" priority="228" operator="equal">
      <formula>"未完成"</formula>
    </cfRule>
    <cfRule type="cellIs" dxfId="0" priority="237" operator="equal">
      <formula>"未完成"</formula>
    </cfRule>
  </conditionalFormatting>
  <conditionalFormatting sqref="AR298:AT298">
    <cfRule type="cellIs" dxfId="1" priority="264" operator="equal">
      <formula>"未完成"</formula>
    </cfRule>
    <cfRule type="cellIs" dxfId="0" priority="273" operator="equal">
      <formula>"未完成"</formula>
    </cfRule>
  </conditionalFormatting>
  <conditionalFormatting sqref="AC299">
    <cfRule type="cellIs" dxfId="0" priority="299" operator="equal">
      <formula>"未完成"</formula>
    </cfRule>
  </conditionalFormatting>
  <conditionalFormatting sqref="AG299:AH299">
    <cfRule type="cellIs" dxfId="1" priority="281" operator="equal">
      <formula>"未完成"</formula>
    </cfRule>
    <cfRule type="cellIs" dxfId="0" priority="290" operator="equal">
      <formula>"未完成"</formula>
    </cfRule>
  </conditionalFormatting>
  <conditionalFormatting sqref="AJ299">
    <cfRule type="cellIs" dxfId="1" priority="245" operator="equal">
      <formula>"未完成"</formula>
    </cfRule>
    <cfRule type="cellIs" dxfId="0" priority="254" operator="equal">
      <formula>"未完成"</formula>
    </cfRule>
  </conditionalFormatting>
  <conditionalFormatting sqref="AN299">
    <cfRule type="cellIs" dxfId="1" priority="317" operator="equal">
      <formula>"未完成"</formula>
    </cfRule>
    <cfRule type="cellIs" dxfId="0" priority="326" operator="equal">
      <formula>"未完成"</formula>
    </cfRule>
  </conditionalFormatting>
  <conditionalFormatting sqref="AO299">
    <cfRule type="cellIs" dxfId="1" priority="227" operator="equal">
      <formula>"未完成"</formula>
    </cfRule>
    <cfRule type="cellIs" dxfId="0" priority="236" operator="equal">
      <formula>"未完成"</formula>
    </cfRule>
  </conditionalFormatting>
  <conditionalFormatting sqref="AR299:AT299">
    <cfRule type="cellIs" dxfId="1" priority="263" operator="equal">
      <formula>"未完成"</formula>
    </cfRule>
    <cfRule type="cellIs" dxfId="0" priority="272" operator="equal">
      <formula>"未完成"</formula>
    </cfRule>
  </conditionalFormatting>
  <conditionalFormatting sqref="AC303">
    <cfRule type="cellIs" dxfId="0" priority="167" operator="equal">
      <formula>"未完成"</formula>
    </cfRule>
  </conditionalFormatting>
  <conditionalFormatting sqref="AG303">
    <cfRule type="cellIs" dxfId="1" priority="157" operator="equal">
      <formula>"未完成"</formula>
    </cfRule>
    <cfRule type="cellIs" dxfId="0" priority="162" operator="equal">
      <formula>"未完成"</formula>
    </cfRule>
  </conditionalFormatting>
  <conditionalFormatting sqref="AH303">
    <cfRule type="cellIs" dxfId="1" priority="122" operator="equal">
      <formula>"未完成"</formula>
    </cfRule>
    <cfRule type="cellIs" dxfId="0" priority="127" operator="equal">
      <formula>"未完成"</formula>
    </cfRule>
  </conditionalFormatting>
  <conditionalFormatting sqref="AJ303">
    <cfRule type="cellIs" dxfId="1" priority="112" operator="equal">
      <formula>"未完成"</formula>
    </cfRule>
    <cfRule type="cellIs" dxfId="0" priority="117" operator="equal">
      <formula>"未完成"</formula>
    </cfRule>
  </conditionalFormatting>
  <conditionalFormatting sqref="AK303">
    <cfRule type="cellIs" dxfId="1" priority="202" operator="equal">
      <formula>"未完成"</formula>
    </cfRule>
    <cfRule type="cellIs" dxfId="0" priority="207" operator="equal">
      <formula>"未完成"</formula>
    </cfRule>
  </conditionalFormatting>
  <conditionalFormatting sqref="AR303:AT303">
    <cfRule type="cellIs" dxfId="1" priority="147" operator="equal">
      <formula>"未完成"</formula>
    </cfRule>
    <cfRule type="cellIs" dxfId="0" priority="152" operator="equal">
      <formula>"未完成"</formula>
    </cfRule>
  </conditionalFormatting>
  <conditionalFormatting sqref="AC304">
    <cfRule type="cellIs" dxfId="0" priority="166" operator="equal">
      <formula>"未完成"</formula>
    </cfRule>
  </conditionalFormatting>
  <conditionalFormatting sqref="AG304">
    <cfRule type="cellIs" dxfId="1" priority="156" operator="equal">
      <formula>"未完成"</formula>
    </cfRule>
    <cfRule type="cellIs" dxfId="0" priority="161" operator="equal">
      <formula>"未完成"</formula>
    </cfRule>
  </conditionalFormatting>
  <conditionalFormatting sqref="AH304">
    <cfRule type="cellIs" dxfId="1" priority="121" operator="equal">
      <formula>"未完成"</formula>
    </cfRule>
    <cfRule type="cellIs" dxfId="0" priority="126" operator="equal">
      <formula>"未完成"</formula>
    </cfRule>
  </conditionalFormatting>
  <conditionalFormatting sqref="AJ304">
    <cfRule type="cellIs" dxfId="1" priority="111" operator="equal">
      <formula>"未完成"</formula>
    </cfRule>
    <cfRule type="cellIs" dxfId="0" priority="116" operator="equal">
      <formula>"未完成"</formula>
    </cfRule>
  </conditionalFormatting>
  <conditionalFormatting sqref="AK304">
    <cfRule type="cellIs" dxfId="1" priority="201" operator="equal">
      <formula>"未完成"</formula>
    </cfRule>
    <cfRule type="cellIs" dxfId="0" priority="206" operator="equal">
      <formula>"未完成"</formula>
    </cfRule>
  </conditionalFormatting>
  <conditionalFormatting sqref="AR304:AT304">
    <cfRule type="cellIs" dxfId="1" priority="146" operator="equal">
      <formula>"未完成"</formula>
    </cfRule>
    <cfRule type="cellIs" dxfId="0" priority="151" operator="equal">
      <formula>"未完成"</formula>
    </cfRule>
  </conditionalFormatting>
  <conditionalFormatting sqref="AC305">
    <cfRule type="cellIs" dxfId="0" priority="165" operator="equal">
      <formula>"未完成"</formula>
    </cfRule>
  </conditionalFormatting>
  <conditionalFormatting sqref="AG305">
    <cfRule type="cellIs" dxfId="1" priority="155" operator="equal">
      <formula>"未完成"</formula>
    </cfRule>
    <cfRule type="cellIs" dxfId="0" priority="160" operator="equal">
      <formula>"未完成"</formula>
    </cfRule>
  </conditionalFormatting>
  <conditionalFormatting sqref="AH305">
    <cfRule type="cellIs" dxfId="1" priority="120" operator="equal">
      <formula>"未完成"</formula>
    </cfRule>
    <cfRule type="cellIs" dxfId="0" priority="125" operator="equal">
      <formula>"未完成"</formula>
    </cfRule>
  </conditionalFormatting>
  <conditionalFormatting sqref="AJ305">
    <cfRule type="cellIs" dxfId="1" priority="110" operator="equal">
      <formula>"未完成"</formula>
    </cfRule>
    <cfRule type="cellIs" dxfId="0" priority="115" operator="equal">
      <formula>"未完成"</formula>
    </cfRule>
  </conditionalFormatting>
  <conditionalFormatting sqref="AK305">
    <cfRule type="cellIs" dxfId="1" priority="200" operator="equal">
      <formula>"未完成"</formula>
    </cfRule>
    <cfRule type="cellIs" dxfId="0" priority="205" operator="equal">
      <formula>"未完成"</formula>
    </cfRule>
  </conditionalFormatting>
  <conditionalFormatting sqref="AR305:AT305">
    <cfRule type="cellIs" dxfId="1" priority="145" operator="equal">
      <formula>"未完成"</formula>
    </cfRule>
    <cfRule type="cellIs" dxfId="0" priority="150" operator="equal">
      <formula>"未完成"</formula>
    </cfRule>
  </conditionalFormatting>
  <conditionalFormatting sqref="AC306">
    <cfRule type="cellIs" dxfId="0" priority="164" operator="equal">
      <formula>"未完成"</formula>
    </cfRule>
  </conditionalFormatting>
  <conditionalFormatting sqref="AG306">
    <cfRule type="cellIs" dxfId="1" priority="154" operator="equal">
      <formula>"未完成"</formula>
    </cfRule>
    <cfRule type="cellIs" dxfId="0" priority="159" operator="equal">
      <formula>"未完成"</formula>
    </cfRule>
  </conditionalFormatting>
  <conditionalFormatting sqref="AH306">
    <cfRule type="cellIs" dxfId="1" priority="119" operator="equal">
      <formula>"未完成"</formula>
    </cfRule>
    <cfRule type="cellIs" dxfId="0" priority="124" operator="equal">
      <formula>"未完成"</formula>
    </cfRule>
  </conditionalFormatting>
  <conditionalFormatting sqref="AJ306">
    <cfRule type="cellIs" dxfId="1" priority="109" operator="equal">
      <formula>"未完成"</formula>
    </cfRule>
    <cfRule type="cellIs" dxfId="0" priority="114" operator="equal">
      <formula>"未完成"</formula>
    </cfRule>
  </conditionalFormatting>
  <conditionalFormatting sqref="AK306">
    <cfRule type="cellIs" dxfId="1" priority="199" operator="equal">
      <formula>"未完成"</formula>
    </cfRule>
    <cfRule type="cellIs" dxfId="0" priority="204" operator="equal">
      <formula>"未完成"</formula>
    </cfRule>
  </conditionalFormatting>
  <conditionalFormatting sqref="AR306:AT306">
    <cfRule type="cellIs" dxfId="1" priority="144" operator="equal">
      <formula>"未完成"</formula>
    </cfRule>
    <cfRule type="cellIs" dxfId="0" priority="149" operator="equal">
      <formula>"未完成"</formula>
    </cfRule>
  </conditionalFormatting>
  <conditionalFormatting sqref="AC307">
    <cfRule type="cellIs" dxfId="0" priority="163" operator="equal">
      <formula>"未完成"</formula>
    </cfRule>
  </conditionalFormatting>
  <conditionalFormatting sqref="AG307">
    <cfRule type="cellIs" dxfId="1" priority="153" operator="equal">
      <formula>"未完成"</formula>
    </cfRule>
    <cfRule type="cellIs" dxfId="0" priority="158" operator="equal">
      <formula>"未完成"</formula>
    </cfRule>
  </conditionalFormatting>
  <conditionalFormatting sqref="AH307">
    <cfRule type="cellIs" dxfId="1" priority="118" operator="equal">
      <formula>"未完成"</formula>
    </cfRule>
    <cfRule type="cellIs" dxfId="0" priority="123" operator="equal">
      <formula>"未完成"</formula>
    </cfRule>
  </conditionalFormatting>
  <conditionalFormatting sqref="AJ307">
    <cfRule type="cellIs" dxfId="1" priority="108" operator="equal">
      <formula>"未完成"</formula>
    </cfRule>
    <cfRule type="cellIs" dxfId="0" priority="113" operator="equal">
      <formula>"未完成"</formula>
    </cfRule>
  </conditionalFormatting>
  <conditionalFormatting sqref="AK307">
    <cfRule type="cellIs" dxfId="1" priority="198" operator="equal">
      <formula>"未完成"</formula>
    </cfRule>
    <cfRule type="cellIs" dxfId="0" priority="203" operator="equal">
      <formula>"未完成"</formula>
    </cfRule>
  </conditionalFormatting>
  <conditionalFormatting sqref="AR307:AT307">
    <cfRule type="cellIs" dxfId="1" priority="143" operator="equal">
      <formula>"未完成"</formula>
    </cfRule>
    <cfRule type="cellIs" dxfId="0" priority="148" operator="equal">
      <formula>"未完成"</formula>
    </cfRule>
  </conditionalFormatting>
  <conditionalFormatting sqref="AC310">
    <cfRule type="cellIs" dxfId="0" priority="856" operator="equal">
      <formula>"未完成"</formula>
    </cfRule>
  </conditionalFormatting>
  <conditionalFormatting sqref="AG310">
    <cfRule type="cellIs" dxfId="1" priority="854" operator="equal">
      <formula>"未完成"</formula>
    </cfRule>
    <cfRule type="cellIs" dxfId="0" priority="855" operator="equal">
      <formula>"未完成"</formula>
    </cfRule>
  </conditionalFormatting>
  <conditionalFormatting sqref="AH310">
    <cfRule type="cellIs" dxfId="1" priority="847" operator="equal">
      <formula>"未完成"</formula>
    </cfRule>
    <cfRule type="cellIs" dxfId="0" priority="848" operator="equal">
      <formula>"未完成"</formula>
    </cfRule>
  </conditionalFormatting>
  <conditionalFormatting sqref="AJ310">
    <cfRule type="cellIs" dxfId="1" priority="845" operator="equal">
      <formula>"未完成"</formula>
    </cfRule>
    <cfRule type="cellIs" dxfId="0" priority="846" operator="equal">
      <formula>"未完成"</formula>
    </cfRule>
  </conditionalFormatting>
  <conditionalFormatting sqref="AN310">
    <cfRule type="cellIs" dxfId="1" priority="857" operator="equal">
      <formula>"未完成"</formula>
    </cfRule>
    <cfRule type="cellIs" dxfId="0" priority="858" operator="equal">
      <formula>"未完成"</formula>
    </cfRule>
  </conditionalFormatting>
  <conditionalFormatting sqref="AO310">
    <cfRule type="cellIs" dxfId="1" priority="850" operator="equal">
      <formula>"未完成"</formula>
    </cfRule>
    <cfRule type="cellIs" dxfId="0" priority="851" operator="equal">
      <formula>"未完成"</formula>
    </cfRule>
  </conditionalFormatting>
  <conditionalFormatting sqref="AR310:AT310">
    <cfRule type="cellIs" dxfId="1" priority="852" operator="equal">
      <formula>"未完成"</formula>
    </cfRule>
    <cfRule type="cellIs" dxfId="0" priority="853" operator="equal">
      <formula>"未完成"</formula>
    </cfRule>
  </conditionalFormatting>
  <conditionalFormatting sqref="AC311">
    <cfRule type="cellIs" dxfId="0" priority="812" operator="equal">
      <formula>"未完成"</formula>
    </cfRule>
  </conditionalFormatting>
  <conditionalFormatting sqref="AG311">
    <cfRule type="cellIs" dxfId="1" priority="810" operator="equal">
      <formula>"未完成"</formula>
    </cfRule>
    <cfRule type="cellIs" dxfId="0" priority="811" operator="equal">
      <formula>"未完成"</formula>
    </cfRule>
  </conditionalFormatting>
  <conditionalFormatting sqref="AH311">
    <cfRule type="cellIs" dxfId="1" priority="803" operator="equal">
      <formula>"未完成"</formula>
    </cfRule>
    <cfRule type="cellIs" dxfId="0" priority="804" operator="equal">
      <formula>"未完成"</formula>
    </cfRule>
  </conditionalFormatting>
  <conditionalFormatting sqref="AJ311">
    <cfRule type="cellIs" dxfId="1" priority="801" operator="equal">
      <formula>"未完成"</formula>
    </cfRule>
    <cfRule type="cellIs" dxfId="0" priority="802" operator="equal">
      <formula>"未完成"</formula>
    </cfRule>
  </conditionalFormatting>
  <conditionalFormatting sqref="AN311">
    <cfRule type="cellIs" dxfId="1" priority="813" operator="equal">
      <formula>"未完成"</formula>
    </cfRule>
    <cfRule type="cellIs" dxfId="0" priority="814" operator="equal">
      <formula>"未完成"</formula>
    </cfRule>
  </conditionalFormatting>
  <conditionalFormatting sqref="AO311">
    <cfRule type="cellIs" dxfId="1" priority="806" operator="equal">
      <formula>"未完成"</formula>
    </cfRule>
    <cfRule type="cellIs" dxfId="0" priority="807" operator="equal">
      <formula>"未完成"</formula>
    </cfRule>
  </conditionalFormatting>
  <conditionalFormatting sqref="AR311:AT311">
    <cfRule type="cellIs" dxfId="1" priority="808" operator="equal">
      <formula>"未完成"</formula>
    </cfRule>
    <cfRule type="cellIs" dxfId="0" priority="809" operator="equal">
      <formula>"未完成"</formula>
    </cfRule>
  </conditionalFormatting>
  <conditionalFormatting sqref="AS312">
    <cfRule type="cellIs" dxfId="1" priority="5334" operator="equal">
      <formula>"未完成"</formula>
    </cfRule>
    <cfRule type="cellIs" dxfId="0" priority="5335" operator="equal">
      <formula>"未完成"</formula>
    </cfRule>
  </conditionalFormatting>
  <conditionalFormatting sqref="AL315">
    <cfRule type="cellIs" dxfId="0" priority="14178" operator="equal">
      <formula>"欠"</formula>
    </cfRule>
  </conditionalFormatting>
  <conditionalFormatting sqref="S316">
    <cfRule type="cellIs" dxfId="0" priority="14202" operator="equal">
      <formula>"欠"</formula>
    </cfRule>
  </conditionalFormatting>
  <conditionalFormatting sqref="R317">
    <cfRule type="cellIs" dxfId="0" priority="14148" operator="equal">
      <formula>"欠"</formula>
    </cfRule>
  </conditionalFormatting>
  <conditionalFormatting sqref="S317">
    <cfRule type="cellIs" dxfId="0" priority="14187" operator="equal">
      <formula>"欠"</formula>
    </cfRule>
  </conditionalFormatting>
  <conditionalFormatting sqref="T317">
    <cfRule type="cellIs" dxfId="0" priority="14188" operator="equal">
      <formula>"欠"</formula>
    </cfRule>
  </conditionalFormatting>
  <conditionalFormatting sqref="S321">
    <cfRule type="cellIs" dxfId="0" priority="14144" operator="equal">
      <formula>"欠"</formula>
    </cfRule>
  </conditionalFormatting>
  <conditionalFormatting sqref="R325">
    <cfRule type="cellIs" dxfId="0" priority="14157" operator="equal">
      <formula>"欠"</formula>
    </cfRule>
  </conditionalFormatting>
  <conditionalFormatting sqref="S325">
    <cfRule type="cellIs" dxfId="0" priority="14154" operator="equal">
      <formula>"欠"</formula>
    </cfRule>
  </conditionalFormatting>
  <conditionalFormatting sqref="T325">
    <cfRule type="cellIs" dxfId="0" priority="14152" operator="equal">
      <formula>"欠"</formula>
    </cfRule>
  </conditionalFormatting>
  <conditionalFormatting sqref="AC325">
    <cfRule type="cellIs" dxfId="0" priority="14160" operator="equal">
      <formula>"未完成"</formula>
    </cfRule>
    <cfRule type="cellIs" dxfId="1" priority="14161" operator="equal">
      <formula>"未完成"</formula>
    </cfRule>
  </conditionalFormatting>
  <conditionalFormatting sqref="AD325">
    <cfRule type="cellIs" dxfId="1" priority="14163" operator="equal">
      <formula>"未完成"</formula>
    </cfRule>
    <cfRule type="cellIs" dxfId="0" priority="14164" operator="equal">
      <formula>"未完成"</formula>
    </cfRule>
  </conditionalFormatting>
  <conditionalFormatting sqref="AE325:AF325">
    <cfRule type="cellIs" dxfId="1" priority="14167" operator="equal">
      <formula>"未完成"</formula>
    </cfRule>
    <cfRule type="cellIs" dxfId="0" priority="14168" operator="equal">
      <formula>"未完成"</formula>
    </cfRule>
  </conditionalFormatting>
  <conditionalFormatting sqref="AG325:AH325">
    <cfRule type="cellIs" dxfId="1" priority="14165" operator="equal">
      <formula>"未完成"</formula>
    </cfRule>
    <cfRule type="cellIs" dxfId="0" priority="14166" operator="equal">
      <formula>"未完成"</formula>
    </cfRule>
  </conditionalFormatting>
  <conditionalFormatting sqref="AC327">
    <cfRule type="cellIs" dxfId="0" priority="14213" operator="equal">
      <formula>"未完成"</formula>
    </cfRule>
  </conditionalFormatting>
  <conditionalFormatting sqref="AC328">
    <cfRule type="cellIs" dxfId="0" priority="14212" operator="equal">
      <formula>"未完成"</formula>
    </cfRule>
  </conditionalFormatting>
  <conditionalFormatting sqref="S329">
    <cfRule type="cellIs" dxfId="0" priority="14205" operator="equal">
      <formula>"欠"</formula>
    </cfRule>
  </conditionalFormatting>
  <conditionalFormatting sqref="AC329">
    <cfRule type="cellIs" dxfId="0" priority="14210" operator="equal">
      <formula>"未完成"</formula>
    </cfRule>
  </conditionalFormatting>
  <conditionalFormatting sqref="S330">
    <cfRule type="cellIs" dxfId="0" priority="13826" operator="equal">
      <formula>"欠"</formula>
    </cfRule>
  </conditionalFormatting>
  <conditionalFormatting sqref="R389">
    <cfRule type="cellIs" dxfId="0" priority="14021" operator="equal">
      <formula>"欠"</formula>
    </cfRule>
  </conditionalFormatting>
  <conditionalFormatting sqref="T389">
    <cfRule type="cellIs" dxfId="0" priority="14008" operator="equal">
      <formula>"欠"</formula>
    </cfRule>
  </conditionalFormatting>
  <conditionalFormatting sqref="R390">
    <cfRule type="cellIs" dxfId="0" priority="13764" operator="equal">
      <formula>"欠"</formula>
    </cfRule>
  </conditionalFormatting>
  <conditionalFormatting sqref="T390">
    <cfRule type="cellIs" dxfId="0" priority="13765" operator="equal">
      <formula>"欠"</formula>
    </cfRule>
  </conditionalFormatting>
  <conditionalFormatting sqref="AK390">
    <cfRule type="cellIs" dxfId="1" priority="13712" operator="equal">
      <formula>"未完成"</formula>
    </cfRule>
    <cfRule type="cellIs" dxfId="0" priority="13713" operator="equal">
      <formula>"未完成"</formula>
    </cfRule>
  </conditionalFormatting>
  <conditionalFormatting sqref="AP390:AQ390">
    <cfRule type="cellIs" dxfId="1" priority="13780" operator="equal">
      <formula>"未完成"</formula>
    </cfRule>
    <cfRule type="cellIs" dxfId="0" priority="13781" operator="equal">
      <formula>"未完成"</formula>
    </cfRule>
  </conditionalFormatting>
  <conditionalFormatting sqref="R391">
    <cfRule type="cellIs" dxfId="0" priority="13882" operator="equal">
      <formula>"欠"</formula>
    </cfRule>
  </conditionalFormatting>
  <conditionalFormatting sqref="T391">
    <cfRule type="cellIs" dxfId="0" priority="13865" operator="equal">
      <formula>"欠"</formula>
    </cfRule>
  </conditionalFormatting>
  <conditionalFormatting sqref="R392">
    <cfRule type="cellIs" dxfId="0" priority="13542" operator="equal">
      <formula>"欠"</formula>
    </cfRule>
  </conditionalFormatting>
  <conditionalFormatting sqref="T392">
    <cfRule type="cellIs" dxfId="0" priority="13543" operator="equal">
      <formula>"欠"</formula>
    </cfRule>
  </conditionalFormatting>
  <conditionalFormatting sqref="AJ392">
    <cfRule type="cellIs" dxfId="1" priority="13566" operator="equal">
      <formula>"未完成"</formula>
    </cfRule>
    <cfRule type="cellIs" dxfId="0" priority="13567" operator="equal">
      <formula>"未完成"</formula>
    </cfRule>
  </conditionalFormatting>
  <conditionalFormatting sqref="AK392">
    <cfRule type="cellIs" dxfId="1" priority="13564" operator="equal">
      <formula>"未完成"</formula>
    </cfRule>
    <cfRule type="cellIs" dxfId="0" priority="13565" operator="equal">
      <formula>"未完成"</formula>
    </cfRule>
  </conditionalFormatting>
  <conditionalFormatting sqref="R393">
    <cfRule type="cellIs" dxfId="0" priority="13508" operator="equal">
      <formula>"欠"</formula>
    </cfRule>
  </conditionalFormatting>
  <conditionalFormatting sqref="T393">
    <cfRule type="cellIs" dxfId="0" priority="13509" operator="equal">
      <formula>"欠"</formula>
    </cfRule>
  </conditionalFormatting>
  <conditionalFormatting sqref="AC393">
    <cfRule type="cellIs" dxfId="0" priority="13516" operator="equal">
      <formula>"未完成"</formula>
    </cfRule>
  </conditionalFormatting>
  <conditionalFormatting sqref="AG393:AH393">
    <cfRule type="cellIs" dxfId="1" priority="13517" operator="equal">
      <formula>"未完成"</formula>
    </cfRule>
    <cfRule type="cellIs" dxfId="0" priority="13518" operator="equal">
      <formula>"未完成"</formula>
    </cfRule>
  </conditionalFormatting>
  <conditionalFormatting sqref="AJ393">
    <cfRule type="cellIs" dxfId="1" priority="13512" operator="equal">
      <formula>"未完成"</formula>
    </cfRule>
    <cfRule type="cellIs" dxfId="0" priority="13513" operator="equal">
      <formula>"未完成"</formula>
    </cfRule>
  </conditionalFormatting>
  <conditionalFormatting sqref="AK393">
    <cfRule type="cellIs" dxfId="1" priority="13510" operator="equal">
      <formula>"未完成"</formula>
    </cfRule>
    <cfRule type="cellIs" dxfId="0" priority="13511" operator="equal">
      <formula>"未完成"</formula>
    </cfRule>
  </conditionalFormatting>
  <conditionalFormatting sqref="R394">
    <cfRule type="cellIs" dxfId="0" priority="13912" operator="equal">
      <formula>"欠"</formula>
    </cfRule>
  </conditionalFormatting>
  <conditionalFormatting sqref="T394">
    <cfRule type="cellIs" dxfId="0" priority="13914" operator="equal">
      <formula>"欠"</formula>
    </cfRule>
  </conditionalFormatting>
  <conditionalFormatting sqref="R395">
    <cfRule type="cellIs" dxfId="0" priority="13050" operator="equal">
      <formula>"欠"</formula>
    </cfRule>
  </conditionalFormatting>
  <conditionalFormatting sqref="T395">
    <cfRule type="cellIs" dxfId="0" priority="13055" operator="equal">
      <formula>"欠"</formula>
    </cfRule>
  </conditionalFormatting>
  <conditionalFormatting sqref="AC395">
    <cfRule type="cellIs" dxfId="0" priority="13080" operator="equal">
      <formula>"未完成"</formula>
    </cfRule>
  </conditionalFormatting>
  <conditionalFormatting sqref="AG395:AH395">
    <cfRule type="cellIs" dxfId="1" priority="13085" operator="equal">
      <formula>"未完成"</formula>
    </cfRule>
    <cfRule type="cellIs" dxfId="0" priority="13090" operator="equal">
      <formula>"未完成"</formula>
    </cfRule>
  </conditionalFormatting>
  <conditionalFormatting sqref="AK395">
    <cfRule type="cellIs" dxfId="1" priority="13040" operator="equal">
      <formula>"未完成"</formula>
    </cfRule>
    <cfRule type="cellIs" dxfId="0" priority="13045" operator="equal">
      <formula>"未完成"</formula>
    </cfRule>
  </conditionalFormatting>
  <conditionalFormatting sqref="AN395:AO395">
    <cfRule type="cellIs" dxfId="1" priority="13070" operator="equal">
      <formula>"未完成"</formula>
    </cfRule>
    <cfRule type="cellIs" dxfId="0" priority="13075" operator="equal">
      <formula>"未完成"</formula>
    </cfRule>
  </conditionalFormatting>
  <conditionalFormatting sqref="AR395:AT395">
    <cfRule type="cellIs" dxfId="1" priority="13060" operator="equal">
      <formula>"未完成"</formula>
    </cfRule>
    <cfRule type="cellIs" dxfId="0" priority="13065" operator="equal">
      <formula>"未完成"</formula>
    </cfRule>
  </conditionalFormatting>
  <conditionalFormatting sqref="R396">
    <cfRule type="cellIs" dxfId="0" priority="13876" operator="equal">
      <formula>"欠"</formula>
    </cfRule>
  </conditionalFormatting>
  <conditionalFormatting sqref="T396">
    <cfRule type="cellIs" dxfId="0" priority="13878" operator="equal">
      <formula>"欠"</formula>
    </cfRule>
  </conditionalFormatting>
  <conditionalFormatting sqref="T397">
    <cfRule type="cellIs" dxfId="0" priority="12974" operator="equal">
      <formula>"欠"</formula>
    </cfRule>
  </conditionalFormatting>
  <conditionalFormatting sqref="T398">
    <cfRule type="cellIs" dxfId="0" priority="12852" operator="equal">
      <formula>"欠"</formula>
    </cfRule>
  </conditionalFormatting>
  <conditionalFormatting sqref="R45:R46">
    <cfRule type="cellIs" dxfId="0" priority="7818" operator="equal">
      <formula>"欠"</formula>
    </cfRule>
  </conditionalFormatting>
  <conditionalFormatting sqref="R224:R226">
    <cfRule type="cellIs" dxfId="0" priority="1996" operator="equal">
      <formula>"欠"</formula>
    </cfRule>
  </conditionalFormatting>
  <conditionalFormatting sqref="R232:R233">
    <cfRule type="cellIs" dxfId="0" priority="1083" operator="equal">
      <formula>"欠"</formula>
    </cfRule>
  </conditionalFormatting>
  <conditionalFormatting sqref="R249:R254">
    <cfRule type="cellIs" dxfId="0" priority="997" operator="equal">
      <formula>"欠"</formula>
    </cfRule>
  </conditionalFormatting>
  <conditionalFormatting sqref="R275:R278">
    <cfRule type="cellIs" dxfId="0" priority="737" operator="equal">
      <formula>"欠"</formula>
    </cfRule>
  </conditionalFormatting>
  <conditionalFormatting sqref="R288:R289">
    <cfRule type="cellIs" dxfId="0" priority="8" operator="equal">
      <formula>"欠"</formula>
    </cfRule>
  </conditionalFormatting>
  <conditionalFormatting sqref="R292:R302">
    <cfRule type="cellIs" dxfId="0" priority="315" operator="equal">
      <formula>"欠"</formula>
    </cfRule>
  </conditionalFormatting>
  <conditionalFormatting sqref="R303:R307">
    <cfRule type="cellIs" dxfId="0" priority="132" operator="equal">
      <formula>"欠"</formula>
    </cfRule>
  </conditionalFormatting>
  <conditionalFormatting sqref="R308:R309">
    <cfRule type="cellIs" dxfId="0" priority="74" operator="equal">
      <formula>"欠"</formula>
    </cfRule>
  </conditionalFormatting>
  <conditionalFormatting sqref="R397:R398">
    <cfRule type="cellIs" dxfId="0" priority="13198" operator="equal">
      <formula>"欠"</formula>
    </cfRule>
  </conditionalFormatting>
  <conditionalFormatting sqref="S231:S233">
    <cfRule type="cellIs" dxfId="0" priority="1127" operator="equal">
      <formula>"欠"</formula>
    </cfRule>
  </conditionalFormatting>
  <conditionalFormatting sqref="S249:S255">
    <cfRule type="cellIs" dxfId="0" priority="1003" operator="equal">
      <formula>"欠"</formula>
    </cfRule>
  </conditionalFormatting>
  <conditionalFormatting sqref="S279:S283">
    <cfRule type="cellIs" dxfId="0" priority="930" operator="equal">
      <formula>"欠"</formula>
    </cfRule>
  </conditionalFormatting>
  <conditionalFormatting sqref="S288:S289">
    <cfRule type="cellIs" dxfId="0" priority="2" operator="equal">
      <formula>"欠"</formula>
    </cfRule>
  </conditionalFormatting>
  <conditionalFormatting sqref="S292:S302">
    <cfRule type="cellIs" dxfId="0" priority="342" operator="equal">
      <formula>"欠"</formula>
    </cfRule>
  </conditionalFormatting>
  <conditionalFormatting sqref="S308:S309">
    <cfRule type="cellIs" dxfId="0" priority="85" operator="equal">
      <formula>"欠"</formula>
    </cfRule>
  </conditionalFormatting>
  <conditionalFormatting sqref="S312:S313">
    <cfRule type="cellIs" dxfId="0" priority="14208" operator="equal">
      <formula>"欠"</formula>
    </cfRule>
  </conditionalFormatting>
  <conditionalFormatting sqref="S327:S328">
    <cfRule type="cellIs" dxfId="0" priority="14206" operator="equal">
      <formula>"欠"</formula>
    </cfRule>
  </conditionalFormatting>
  <conditionalFormatting sqref="T216:T222">
    <cfRule type="cellIs" dxfId="0" priority="2017" operator="equal">
      <formula>"欠"</formula>
    </cfRule>
  </conditionalFormatting>
  <conditionalFormatting sqref="T231:T233">
    <cfRule type="cellIs" dxfId="0" priority="1126" operator="equal">
      <formula>"欠"</formula>
    </cfRule>
  </conditionalFormatting>
  <conditionalFormatting sqref="T246:T248">
    <cfRule type="cellIs" dxfId="0" priority="1064" operator="equal">
      <formula>"欠"</formula>
    </cfRule>
  </conditionalFormatting>
  <conditionalFormatting sqref="T249:T255">
    <cfRule type="cellIs" dxfId="0" priority="977" operator="equal">
      <formula>"欠"</formula>
    </cfRule>
  </conditionalFormatting>
  <conditionalFormatting sqref="T279:T283">
    <cfRule type="cellIs" dxfId="0" priority="928" operator="equal">
      <formula>"欠"</formula>
    </cfRule>
  </conditionalFormatting>
  <conditionalFormatting sqref="T288:T289">
    <cfRule type="containsText" dxfId="2" priority="1" operator="between" text="欠">
      <formula>NOT(ISERROR(SEARCH("欠",T288)))</formula>
    </cfRule>
    <cfRule type="cellIs" dxfId="0" priority="3" operator="equal">
      <formula>"欠"</formula>
    </cfRule>
  </conditionalFormatting>
  <conditionalFormatting sqref="T292:T302">
    <cfRule type="containsText" dxfId="2" priority="216" operator="between" text="欠">
      <formula>NOT(ISERROR(SEARCH("欠",T292)))</formula>
    </cfRule>
    <cfRule type="cellIs" dxfId="0" priority="225" operator="equal">
      <formula>"欠"</formula>
    </cfRule>
  </conditionalFormatting>
  <conditionalFormatting sqref="T308:T309">
    <cfRule type="containsText" dxfId="2" priority="82" operator="between" text="欠">
      <formula>NOT(ISERROR(SEARCH("欠",T308)))</formula>
    </cfRule>
    <cfRule type="cellIs" dxfId="0" priority="86" operator="equal">
      <formula>"欠"</formula>
    </cfRule>
  </conditionalFormatting>
  <conditionalFormatting sqref="AC219:AC222">
    <cfRule type="cellIs" dxfId="0" priority="2173" operator="equal">
      <formula>"未完成"</formula>
    </cfRule>
  </conditionalFormatting>
  <conditionalFormatting sqref="AC232:AC233">
    <cfRule type="cellIs" dxfId="0" priority="1101" operator="equal">
      <formula>"未完成"</formula>
    </cfRule>
  </conditionalFormatting>
  <conditionalFormatting sqref="AC249:AC254">
    <cfRule type="cellIs" dxfId="0" priority="995" operator="equal">
      <formula>"未完成"</formula>
    </cfRule>
  </conditionalFormatting>
  <conditionalFormatting sqref="AC288:AC289">
    <cfRule type="cellIs" dxfId="0" priority="15" operator="equal">
      <formula>"未完成"</formula>
    </cfRule>
  </conditionalFormatting>
  <conditionalFormatting sqref="AC300:AC302">
    <cfRule type="cellIs" dxfId="0" priority="298" operator="equal">
      <formula>"未完成"</formula>
    </cfRule>
  </conditionalFormatting>
  <conditionalFormatting sqref="AC308:AC309">
    <cfRule type="cellIs" dxfId="0" priority="79" operator="equal">
      <formula>"未完成"</formula>
    </cfRule>
  </conditionalFormatting>
  <conditionalFormatting sqref="AC389:AC391">
    <cfRule type="cellIs" dxfId="0" priority="14051" operator="equal">
      <formula>"未完成"</formula>
    </cfRule>
  </conditionalFormatting>
  <conditionalFormatting sqref="AG288:AG289">
    <cfRule type="cellIs" dxfId="1" priority="13" operator="equal">
      <formula>"未完成"</formula>
    </cfRule>
    <cfRule type="cellIs" dxfId="0" priority="14" operator="equal">
      <formula>"未完成"</formula>
    </cfRule>
  </conditionalFormatting>
  <conditionalFormatting sqref="AG308:AG309">
    <cfRule type="cellIs" dxfId="1" priority="77" operator="equal">
      <formula>"未完成"</formula>
    </cfRule>
    <cfRule type="cellIs" dxfId="0" priority="78" operator="equal">
      <formula>"未完成"</formula>
    </cfRule>
  </conditionalFormatting>
  <conditionalFormatting sqref="AH288:AH289">
    <cfRule type="cellIs" dxfId="1" priority="6" operator="equal">
      <formula>"未完成"</formula>
    </cfRule>
    <cfRule type="cellIs" dxfId="0" priority="7" operator="equal">
      <formula>"未完成"</formula>
    </cfRule>
  </conditionalFormatting>
  <conditionalFormatting sqref="AH308:AH309">
    <cfRule type="cellIs" dxfId="1" priority="72" operator="equal">
      <formula>"未完成"</formula>
    </cfRule>
    <cfRule type="cellIs" dxfId="0" priority="73" operator="equal">
      <formula>"未完成"</formula>
    </cfRule>
  </conditionalFormatting>
  <conditionalFormatting sqref="AI218:AI222">
    <cfRule type="cellIs" dxfId="1" priority="2070" operator="equal">
      <formula>"未完成"</formula>
    </cfRule>
    <cfRule type="cellIs" dxfId="0" priority="2081" operator="equal">
      <formula>"未完成"</formula>
    </cfRule>
  </conditionalFormatting>
  <conditionalFormatting sqref="AI287:AI288">
    <cfRule type="cellIs" dxfId="1" priority="43" operator="equal">
      <formula>"未完成"</formula>
    </cfRule>
    <cfRule type="cellIs" dxfId="0" priority="44" operator="equal">
      <formula>"未完成"</formula>
    </cfRule>
  </conditionalFormatting>
  <conditionalFormatting sqref="AI308:AI309">
    <cfRule type="cellIs" dxfId="1" priority="91" operator="equal">
      <formula>"未完成"</formula>
    </cfRule>
    <cfRule type="cellIs" dxfId="0" priority="92" operator="equal">
      <formula>"未完成"</formula>
    </cfRule>
  </conditionalFormatting>
  <conditionalFormatting sqref="AJ22:AJ28">
    <cfRule type="cellIs" dxfId="1" priority="6105" operator="equal">
      <formula>"未完成"</formula>
    </cfRule>
    <cfRule type="cellIs" dxfId="0" priority="6116" operator="equal">
      <formula>"未完成"</formula>
    </cfRule>
  </conditionalFormatting>
  <conditionalFormatting sqref="AJ148:AJ157">
    <cfRule type="cellIs" dxfId="0" priority="1732" operator="equal">
      <formula>"未完成"</formula>
    </cfRule>
    <cfRule type="cellIs" dxfId="1" priority="1731" operator="equal">
      <formula>"未完成"</formula>
    </cfRule>
  </conditionalFormatting>
  <conditionalFormatting sqref="AJ219:AJ222">
    <cfRule type="cellIs" dxfId="1" priority="2107" operator="equal">
      <formula>"未完成"</formula>
    </cfRule>
    <cfRule type="cellIs" dxfId="0" priority="2118" operator="equal">
      <formula>"未完成"</formula>
    </cfRule>
  </conditionalFormatting>
  <conditionalFormatting sqref="AJ232:AJ233">
    <cfRule type="cellIs" dxfId="1" priority="1095" operator="equal">
      <formula>"未完成"</formula>
    </cfRule>
    <cfRule type="cellIs" dxfId="0" priority="1096" operator="equal">
      <formula>"未完成"</formula>
    </cfRule>
  </conditionalFormatting>
  <conditionalFormatting sqref="AJ249:AJ254">
    <cfRule type="cellIs" dxfId="1" priority="983" operator="equal">
      <formula>"未完成"</formula>
    </cfRule>
    <cfRule type="cellIs" dxfId="0" priority="985" operator="equal">
      <formula>"未完成"</formula>
    </cfRule>
  </conditionalFormatting>
  <conditionalFormatting sqref="AJ288:AJ289">
    <cfRule type="cellIs" dxfId="1" priority="4" operator="equal">
      <formula>"未完成"</formula>
    </cfRule>
    <cfRule type="cellIs" dxfId="0" priority="5" operator="equal">
      <formula>"未完成"</formula>
    </cfRule>
  </conditionalFormatting>
  <conditionalFormatting sqref="AJ300:AJ302">
    <cfRule type="cellIs" dxfId="1" priority="244" operator="equal">
      <formula>"未完成"</formula>
    </cfRule>
    <cfRule type="cellIs" dxfId="0" priority="253" operator="equal">
      <formula>"未完成"</formula>
    </cfRule>
  </conditionalFormatting>
  <conditionalFormatting sqref="AJ308:AJ309">
    <cfRule type="cellIs" dxfId="1" priority="70" operator="equal">
      <formula>"未完成"</formula>
    </cfRule>
    <cfRule type="cellIs" dxfId="0" priority="71" operator="equal">
      <formula>"未完成"</formula>
    </cfRule>
  </conditionalFormatting>
  <conditionalFormatting sqref="AJ397:AJ398">
    <cfRule type="cellIs" dxfId="1" priority="13560" operator="equal">
      <formula>"未完成"</formula>
    </cfRule>
    <cfRule type="cellIs" dxfId="0" priority="13561" operator="equal">
      <formula>"未完成"</formula>
    </cfRule>
  </conditionalFormatting>
  <conditionalFormatting sqref="AK8:AK16">
    <cfRule type="cellIs" dxfId="1" priority="6282" operator="equal">
      <formula>"未完成"</formula>
    </cfRule>
    <cfRule type="cellIs" dxfId="0" priority="6292" operator="equal">
      <formula>"未完成"</formula>
    </cfRule>
  </conditionalFormatting>
  <conditionalFormatting sqref="AK22:AK28">
    <cfRule type="cellIs" dxfId="1" priority="6061" operator="equal">
      <formula>"未完成"</formula>
    </cfRule>
    <cfRule type="cellIs" dxfId="0" priority="6072" operator="equal">
      <formula>"未完成"</formula>
    </cfRule>
  </conditionalFormatting>
  <conditionalFormatting sqref="AK45:AK46">
    <cfRule type="cellIs" dxfId="1" priority="7857" operator="equal">
      <formula>"未完成"</formula>
    </cfRule>
    <cfRule type="cellIs" dxfId="0" priority="7858" operator="equal">
      <formula>"未完成"</formula>
    </cfRule>
  </conditionalFormatting>
  <conditionalFormatting sqref="AK288:AK289">
    <cfRule type="cellIs" dxfId="1" priority="22" operator="equal">
      <formula>"未完成"</formula>
    </cfRule>
    <cfRule type="cellIs" dxfId="0" priority="23" operator="equal">
      <formula>"未完成"</formula>
    </cfRule>
  </conditionalFormatting>
  <conditionalFormatting sqref="AK308:AK309">
    <cfRule type="cellIs" dxfId="1" priority="80" operator="equal">
      <formula>"未完成"</formula>
    </cfRule>
    <cfRule type="cellIs" dxfId="0" priority="81" operator="equal">
      <formula>"未完成"</formula>
    </cfRule>
  </conditionalFormatting>
  <conditionalFormatting sqref="AK397:AK398">
    <cfRule type="cellIs" dxfId="1" priority="13558" operator="equal">
      <formula>"未完成"</formula>
    </cfRule>
    <cfRule type="cellIs" dxfId="0" priority="13559" operator="equal">
      <formula>"未完成"</formula>
    </cfRule>
  </conditionalFormatting>
  <conditionalFormatting sqref="AN232:AN233">
    <cfRule type="cellIs" dxfId="1" priority="1086" operator="equal">
      <formula>"未完成"</formula>
    </cfRule>
    <cfRule type="cellIs" dxfId="0" priority="1087" operator="equal">
      <formula>"未完成"</formula>
    </cfRule>
  </conditionalFormatting>
  <conditionalFormatting sqref="AN249:AN254">
    <cfRule type="cellIs" dxfId="1" priority="999" operator="equal">
      <formula>"未完成"</formula>
    </cfRule>
    <cfRule type="cellIs" dxfId="0" priority="1001" operator="equal">
      <formula>"未完成"</formula>
    </cfRule>
  </conditionalFormatting>
  <conditionalFormatting sqref="AN288:AN289">
    <cfRule type="cellIs" dxfId="1" priority="16" operator="equal">
      <formula>"未完成"</formula>
    </cfRule>
    <cfRule type="cellIs" dxfId="0" priority="17" operator="equal">
      <formula>"未完成"</formula>
    </cfRule>
  </conditionalFormatting>
  <conditionalFormatting sqref="AN300:AN302">
    <cfRule type="cellIs" dxfId="1" priority="316" operator="equal">
      <formula>"未完成"</formula>
    </cfRule>
    <cfRule type="cellIs" dxfId="0" priority="325" operator="equal">
      <formula>"未完成"</formula>
    </cfRule>
  </conditionalFormatting>
  <conditionalFormatting sqref="AN308:AN309">
    <cfRule type="cellIs" dxfId="1" priority="89" operator="equal">
      <formula>"未完成"</formula>
    </cfRule>
    <cfRule type="cellIs" dxfId="0" priority="90" operator="equal">
      <formula>"未完成"</formula>
    </cfRule>
  </conditionalFormatting>
  <conditionalFormatting sqref="AO232:AO233">
    <cfRule type="cellIs" dxfId="1" priority="1091" operator="equal">
      <formula>"未完成"</formula>
    </cfRule>
    <cfRule type="cellIs" dxfId="0" priority="1092" operator="equal">
      <formula>"未完成"</formula>
    </cfRule>
  </conditionalFormatting>
  <conditionalFormatting sqref="AO249:AO254">
    <cfRule type="cellIs" dxfId="1" priority="979" operator="equal">
      <formula>"未完成"</formula>
    </cfRule>
    <cfRule type="cellIs" dxfId="0" priority="981" operator="equal">
      <formula>"未完成"</formula>
    </cfRule>
  </conditionalFormatting>
  <conditionalFormatting sqref="AO288:AO289">
    <cfRule type="cellIs" dxfId="1" priority="9" operator="equal">
      <formula>"未完成"</formula>
    </cfRule>
    <cfRule type="cellIs" dxfId="0" priority="10" operator="equal">
      <formula>"未完成"</formula>
    </cfRule>
  </conditionalFormatting>
  <conditionalFormatting sqref="AO300:AO302">
    <cfRule type="cellIs" dxfId="1" priority="226" operator="equal">
      <formula>"未完成"</formula>
    </cfRule>
    <cfRule type="cellIs" dxfId="0" priority="235" operator="equal">
      <formula>"未完成"</formula>
    </cfRule>
  </conditionalFormatting>
  <conditionalFormatting sqref="AO308:AO309">
    <cfRule type="cellIs" dxfId="1" priority="87" operator="equal">
      <formula>"未完成"</formula>
    </cfRule>
    <cfRule type="cellIs" dxfId="0" priority="88" operator="equal">
      <formula>"未完成"</formula>
    </cfRule>
  </conditionalFormatting>
  <conditionalFormatting sqref="AQ148:AQ157">
    <cfRule type="cellIs" dxfId="0" priority="1730" operator="equal">
      <formula>"未完成"</formula>
    </cfRule>
    <cfRule type="cellIs" dxfId="1" priority="1729" operator="equal">
      <formula>"未完成"</formula>
    </cfRule>
  </conditionalFormatting>
  <conditionalFormatting sqref="AQ219:AQ222">
    <cfRule type="cellIs" dxfId="1" priority="2019" operator="equal">
      <formula>"未完成"</formula>
    </cfRule>
    <cfRule type="cellIs" dxfId="0" priority="2030" operator="equal">
      <formula>"未完成"</formula>
    </cfRule>
  </conditionalFormatting>
  <conditionalFormatting sqref="AQ232:AQ233">
    <cfRule type="cellIs" dxfId="1" priority="1060" operator="equal">
      <formula>"未完成"</formula>
    </cfRule>
    <cfRule type="cellIs" dxfId="0" priority="1061" operator="equal">
      <formula>"未完成"</formula>
    </cfRule>
  </conditionalFormatting>
  <conditionalFormatting sqref="AQ288:AQ289">
    <cfRule type="cellIs" dxfId="1" priority="18" operator="equal">
      <formula>"未完成"</formula>
    </cfRule>
    <cfRule type="cellIs" dxfId="0" priority="19" operator="equal">
      <formula>"未完成"</formula>
    </cfRule>
  </conditionalFormatting>
  <conditionalFormatting sqref="AQ308:AQ309">
    <cfRule type="cellIs" dxfId="1" priority="83" operator="equal">
      <formula>"未完成"</formula>
    </cfRule>
    <cfRule type="cellIs" dxfId="0" priority="84" operator="equal">
      <formula>"未完成"</formula>
    </cfRule>
  </conditionalFormatting>
  <conditionalFormatting sqref="T1:T286 T290 T303:T307 T310:T1048576">
    <cfRule type="containsText" dxfId="2" priority="405" operator="between" text="欠">
      <formula>NOT(ISERROR(SEARCH("欠",T1)))</formula>
    </cfRule>
  </conditionalFormatting>
  <conditionalFormatting sqref="AC1 AD338:AD357 AC358:AC388 AC399:AC1048576 AC330:AC333">
    <cfRule type="cellIs" dxfId="0" priority="14224" operator="equal">
      <formula>"未完成"</formula>
    </cfRule>
  </conditionalFormatting>
  <conditionalFormatting sqref="AI2 AQ2">
    <cfRule type="cellIs" dxfId="1" priority="6541" operator="equal">
      <formula>"未完成"</formula>
    </cfRule>
    <cfRule type="cellIs" dxfId="0" priority="6542" operator="equal">
      <formula>"未完成"</formula>
    </cfRule>
  </conditionalFormatting>
  <conditionalFormatting sqref="AI3 AQ3">
    <cfRule type="cellIs" dxfId="1" priority="6499" operator="equal">
      <formula>"未完成"</formula>
    </cfRule>
    <cfRule type="cellIs" dxfId="0" priority="6501" operator="equal">
      <formula>"未完成"</formula>
    </cfRule>
  </conditionalFormatting>
  <conditionalFormatting sqref="AI4 AQ4">
    <cfRule type="cellIs" dxfId="1" priority="6498" operator="equal">
      <formula>"未完成"</formula>
    </cfRule>
    <cfRule type="cellIs" dxfId="0" priority="6500" operator="equal">
      <formula>"未完成"</formula>
    </cfRule>
  </conditionalFormatting>
  <conditionalFormatting sqref="AI5 AQ5">
    <cfRule type="cellIs" dxfId="1" priority="6433" operator="equal">
      <formula>"未完成"</formula>
    </cfRule>
    <cfRule type="cellIs" dxfId="0" priority="6434" operator="equal">
      <formula>"未完成"</formula>
    </cfRule>
  </conditionalFormatting>
  <conditionalFormatting sqref="AI6:AI7 AQ6">
    <cfRule type="cellIs" dxfId="1" priority="6364" operator="equal">
      <formula>"未完成"</formula>
    </cfRule>
    <cfRule type="cellIs" dxfId="0" priority="6374" operator="equal">
      <formula>"未完成"</formula>
    </cfRule>
  </conditionalFormatting>
  <conditionalFormatting sqref="AI8:AI15 AQ8">
    <cfRule type="cellIs" dxfId="1" priority="6362" operator="equal">
      <formula>"未完成"</formula>
    </cfRule>
    <cfRule type="cellIs" dxfId="0" priority="6372" operator="equal">
      <formula>"未完成"</formula>
    </cfRule>
  </conditionalFormatting>
  <conditionalFormatting sqref="AI17 AQ17">
    <cfRule type="cellIs" dxfId="1" priority="6249" operator="equal">
      <formula>"未完成"</formula>
    </cfRule>
    <cfRule type="cellIs" dxfId="0" priority="6250" operator="equal">
      <formula>"未完成"</formula>
    </cfRule>
  </conditionalFormatting>
  <conditionalFormatting sqref="AI18 AQ18">
    <cfRule type="cellIs" dxfId="1" priority="6153" operator="equal">
      <formula>"未完成"</formula>
    </cfRule>
    <cfRule type="cellIs" dxfId="0" priority="6164" operator="equal">
      <formula>"未完成"</formula>
    </cfRule>
  </conditionalFormatting>
  <conditionalFormatting sqref="AI19 AQ19">
    <cfRule type="cellIs" dxfId="1" priority="6152" operator="equal">
      <formula>"未完成"</formula>
    </cfRule>
    <cfRule type="cellIs" dxfId="0" priority="6163" operator="equal">
      <formula>"未完成"</formula>
    </cfRule>
  </conditionalFormatting>
  <conditionalFormatting sqref="AI20 AQ20">
    <cfRule type="cellIs" dxfId="1" priority="6151" operator="equal">
      <formula>"未完成"</formula>
    </cfRule>
    <cfRule type="cellIs" dxfId="0" priority="6162" operator="equal">
      <formula>"未完成"</formula>
    </cfRule>
  </conditionalFormatting>
  <conditionalFormatting sqref="AI21 AQ21">
    <cfRule type="cellIs" dxfId="1" priority="6150" operator="equal">
      <formula>"未完成"</formula>
    </cfRule>
    <cfRule type="cellIs" dxfId="0" priority="6161" operator="equal">
      <formula>"未完成"</formula>
    </cfRule>
  </conditionalFormatting>
  <conditionalFormatting sqref="AI22:AI28 AQ22">
    <cfRule type="cellIs" dxfId="1" priority="6149" operator="equal">
      <formula>"未完成"</formula>
    </cfRule>
    <cfRule type="cellIs" dxfId="0" priority="6160" operator="equal">
      <formula>"未完成"</formula>
    </cfRule>
  </conditionalFormatting>
  <conditionalFormatting sqref="AI29 AQ29">
    <cfRule type="cellIs" dxfId="1" priority="6042" operator="equal">
      <formula>"未完成"</formula>
    </cfRule>
    <cfRule type="cellIs" dxfId="0" priority="6044" operator="equal">
      <formula>"未完成"</formula>
    </cfRule>
  </conditionalFormatting>
  <conditionalFormatting sqref="AI30 AQ30">
    <cfRule type="cellIs" dxfId="1" priority="6041" operator="equal">
      <formula>"未完成"</formula>
    </cfRule>
    <cfRule type="cellIs" dxfId="0" priority="6043" operator="equal">
      <formula>"未完成"</formula>
    </cfRule>
  </conditionalFormatting>
  <conditionalFormatting sqref="AI31 AQ31">
    <cfRule type="cellIs" dxfId="1" priority="5994" operator="equal">
      <formula>"未完成"</formula>
    </cfRule>
    <cfRule type="cellIs" dxfId="0" priority="5999" operator="equal">
      <formula>"未完成"</formula>
    </cfRule>
  </conditionalFormatting>
  <conditionalFormatting sqref="AI32:AI43 AI235:AI236 AI238:AI245 AI292:AI301">
    <cfRule type="cellIs" dxfId="1" priority="5705" operator="equal">
      <formula>"未完成"</formula>
    </cfRule>
    <cfRule type="cellIs" dxfId="0" priority="5706" operator="equal">
      <formula>"未完成"</formula>
    </cfRule>
  </conditionalFormatting>
  <conditionalFormatting sqref="T36:T46 T60:T61">
    <cfRule type="cellIs" dxfId="0" priority="6530" operator="equal">
      <formula>"欠"</formula>
    </cfRule>
  </conditionalFormatting>
  <conditionalFormatting sqref="AK42 AK235:AK236 AK238:AK245 AK292:AK302">
    <cfRule type="cellIs" dxfId="1" priority="7245" operator="equal">
      <formula>"未完成"</formula>
    </cfRule>
    <cfRule type="cellIs" dxfId="0" priority="7252" operator="equal">
      <formula>"未完成"</formula>
    </cfRule>
  </conditionalFormatting>
  <conditionalFormatting sqref="AQ42 AQ235:AQ236 AQ238:AQ245 AQ292:AQ302">
    <cfRule type="cellIs" dxfId="1" priority="7259" operator="equal">
      <formula>"未完成"</formula>
    </cfRule>
    <cfRule type="cellIs" dxfId="0" priority="7266" operator="equal">
      <formula>"未完成"</formula>
    </cfRule>
  </conditionalFormatting>
  <conditionalFormatting sqref="AI44 AQ44">
    <cfRule type="cellIs" dxfId="1" priority="6577" operator="equal">
      <formula>"未完成"</formula>
    </cfRule>
    <cfRule type="cellIs" dxfId="0" priority="6578" operator="equal">
      <formula>"未完成"</formula>
    </cfRule>
  </conditionalFormatting>
  <conditionalFormatting sqref="AC45 AC60:AC61 AC392 AC394 AC396:AC398">
    <cfRule type="cellIs" dxfId="0" priority="13924" operator="equal">
      <formula>"未完成"</formula>
    </cfRule>
  </conditionalFormatting>
  <conditionalFormatting sqref="AG45:AH45 AG60:AH61 AG392:AH392 AG396:AH398 AG394:AH394">
    <cfRule type="cellIs" dxfId="1" priority="13925" operator="equal">
      <formula>"未完成"</formula>
    </cfRule>
    <cfRule type="cellIs" dxfId="0" priority="13926" operator="equal">
      <formula>"未完成"</formula>
    </cfRule>
  </conditionalFormatting>
  <conditionalFormatting sqref="AI45:AI46 AI60 AI390:AJ390 AR390:AT391 AL390:AO390 AI389:AQ389 AI391:AP391">
    <cfRule type="cellIs" dxfId="1" priority="14027" operator="equal">
      <formula>"未完成"</formula>
    </cfRule>
    <cfRule type="cellIs" dxfId="0" priority="14028" operator="equal">
      <formula>"未完成"</formula>
    </cfRule>
  </conditionalFormatting>
  <conditionalFormatting sqref="AS60:AT61 AS45:AT45 AI396:AK396 AQ396:AT396 AN396:AO396 AN394:AO394 AQ394:AT394 AI394:AK394">
    <cfRule type="cellIs" dxfId="1" priority="13906" operator="equal">
      <formula>"未完成"</formula>
    </cfRule>
    <cfRule type="cellIs" dxfId="0" priority="13907" operator="equal">
      <formula>"未完成"</formula>
    </cfRule>
  </conditionalFormatting>
  <conditionalFormatting sqref="AJ45 AJ61">
    <cfRule type="cellIs" dxfId="1" priority="9029" operator="equal">
      <formula>"未完成"</formula>
    </cfRule>
    <cfRule type="cellIs" dxfId="0" priority="9030" operator="equal">
      <formula>"未完成"</formula>
    </cfRule>
  </conditionalFormatting>
  <conditionalFormatting sqref="AO60:AO61 AO45">
    <cfRule type="cellIs" dxfId="1" priority="12247" operator="equal">
      <formula>"未完成"</formula>
    </cfRule>
    <cfRule type="cellIs" dxfId="0" priority="12249" operator="equal">
      <formula>"未完成"</formula>
    </cfRule>
  </conditionalFormatting>
  <conditionalFormatting sqref="AQ45:AQ46 AQ60">
    <cfRule type="cellIs" dxfId="1" priority="13824" operator="equal">
      <formula>"未完成"</formula>
    </cfRule>
    <cfRule type="cellIs" dxfId="0" priority="13825" operator="equal">
      <formula>"未完成"</formula>
    </cfRule>
  </conditionalFormatting>
  <conditionalFormatting sqref="AR45 AR60:AR61">
    <cfRule type="cellIs" dxfId="1" priority="9023" operator="equal">
      <formula>"未完成"</formula>
    </cfRule>
    <cfRule type="cellIs" dxfId="0" priority="9024" operator="equal">
      <formula>"未完成"</formula>
    </cfRule>
  </conditionalFormatting>
  <conditionalFormatting sqref="AK73 AK255">
    <cfRule type="cellIs" dxfId="1" priority="5252" operator="equal">
      <formula>"未完成"</formula>
    </cfRule>
    <cfRule type="cellIs" dxfId="0" priority="5255" operator="equal">
      <formula>"未完成"</formula>
    </cfRule>
  </conditionalFormatting>
  <conditionalFormatting sqref="AQ73 AQ255">
    <cfRule type="cellIs" dxfId="1" priority="5258" operator="equal">
      <formula>"未完成"</formula>
    </cfRule>
    <cfRule type="cellIs" dxfId="0" priority="5261" operator="equal">
      <formula>"未完成"</formula>
    </cfRule>
  </conditionalFormatting>
  <conditionalFormatting sqref="T96:T97 T113:T115 T120:T123">
    <cfRule type="cellIs" dxfId="0" priority="4724" operator="equal">
      <formula>"欠"</formula>
    </cfRule>
  </conditionalFormatting>
  <conditionalFormatting sqref="R123 R216:R222">
    <cfRule type="cellIs" dxfId="0" priority="3959" operator="equal">
      <formula>"欠"</formula>
    </cfRule>
  </conditionalFormatting>
  <conditionalFormatting sqref="AK123 AK216:AK222">
    <cfRule type="cellIs" dxfId="1" priority="3935" operator="equal">
      <formula>"未完成"</formula>
    </cfRule>
    <cfRule type="cellIs" dxfId="0" priority="3941" operator="equal">
      <formula>"未完成"</formula>
    </cfRule>
  </conditionalFormatting>
  <conditionalFormatting sqref="AS123:AT123 AS216:AS222">
    <cfRule type="cellIs" dxfId="1" priority="4013" operator="equal">
      <formula>"未完成"</formula>
    </cfRule>
    <cfRule type="cellIs" dxfId="0" priority="4019" operator="equal">
      <formula>"未完成"</formula>
    </cfRule>
  </conditionalFormatting>
  <conditionalFormatting sqref="AQ158:AQ169 AQ179">
    <cfRule type="cellIs" dxfId="0" priority="2564" operator="equal">
      <formula>"未完成"</formula>
    </cfRule>
    <cfRule type="cellIs" dxfId="1" priority="2534" operator="equal">
      <formula>"未完成"</formula>
    </cfRule>
  </conditionalFormatting>
  <conditionalFormatting sqref="AJ175 AJ273">
    <cfRule type="cellIs" dxfId="1" priority="2727" operator="equal">
      <formula>"未完成"</formula>
    </cfRule>
    <cfRule type="cellIs" dxfId="0" priority="2757" operator="equal">
      <formula>"未完成"</formula>
    </cfRule>
  </conditionalFormatting>
  <conditionalFormatting sqref="AI192 AI232:AI233 AI237">
    <cfRule type="cellIs" dxfId="1" priority="1480" operator="equal">
      <formula>"未完成"</formula>
    </cfRule>
    <cfRule type="cellIs" dxfId="0" priority="1497" operator="equal">
      <formula>"未完成"</formula>
    </cfRule>
  </conditionalFormatting>
  <conditionalFormatting sqref="AK192 AK232:AK233">
    <cfRule type="cellIs" dxfId="1" priority="1395" operator="equal">
      <formula>"未完成"</formula>
    </cfRule>
    <cfRule type="cellIs" dxfId="0" priority="1412" operator="equal">
      <formula>"未完成"</formula>
    </cfRule>
  </conditionalFormatting>
  <conditionalFormatting sqref="AR216 AT216">
    <cfRule type="cellIs" dxfId="1" priority="2138" operator="equal">
      <formula>"未完成"</formula>
    </cfRule>
    <cfRule type="cellIs" dxfId="0" priority="2149" operator="equal">
      <formula>"未完成"</formula>
    </cfRule>
  </conditionalFormatting>
  <conditionalFormatting sqref="AR217 AT217">
    <cfRule type="cellIs" dxfId="1" priority="2137" operator="equal">
      <formula>"未完成"</formula>
    </cfRule>
    <cfRule type="cellIs" dxfId="0" priority="2148" operator="equal">
      <formula>"未完成"</formula>
    </cfRule>
  </conditionalFormatting>
  <conditionalFormatting sqref="AR218 AT218">
    <cfRule type="cellIs" dxfId="1" priority="2136" operator="equal">
      <formula>"未完成"</formula>
    </cfRule>
    <cfRule type="cellIs" dxfId="0" priority="2147" operator="equal">
      <formula>"未完成"</formula>
    </cfRule>
  </conditionalFormatting>
  <conditionalFormatting sqref="AG219:AH222">
    <cfRule type="cellIs" dxfId="1" priority="2151" operator="equal">
      <formula>"未完成"</formula>
    </cfRule>
    <cfRule type="cellIs" dxfId="0" priority="2162" operator="equal">
      <formula>"未完成"</formula>
    </cfRule>
  </conditionalFormatting>
  <conditionalFormatting sqref="AN219:AO222">
    <cfRule type="cellIs" dxfId="1" priority="2041" operator="equal">
      <formula>"未完成"</formula>
    </cfRule>
    <cfRule type="cellIs" dxfId="0" priority="2052" operator="equal">
      <formula>"未完成"</formula>
    </cfRule>
  </conditionalFormatting>
  <conditionalFormatting sqref="AT219:AT222 AR219:AR222">
    <cfRule type="cellIs" dxfId="1" priority="2129" operator="equal">
      <formula>"未完成"</formula>
    </cfRule>
    <cfRule type="cellIs" dxfId="0" priority="2140" operator="equal">
      <formula>"未完成"</formula>
    </cfRule>
  </conditionalFormatting>
  <conditionalFormatting sqref="AI223 AI228">
    <cfRule type="cellIs" dxfId="1" priority="2240" operator="equal">
      <formula>"未完成"</formula>
    </cfRule>
    <cfRule type="cellIs" dxfId="0" priority="2241" operator="equal">
      <formula>"未完成"</formula>
    </cfRule>
  </conditionalFormatting>
  <conditionalFormatting sqref="AK223 AK228">
    <cfRule type="cellIs" dxfId="1" priority="2242" operator="equal">
      <formula>"未完成"</formula>
    </cfRule>
    <cfRule type="cellIs" dxfId="0" priority="2243" operator="equal">
      <formula>"未完成"</formula>
    </cfRule>
  </conditionalFormatting>
  <conditionalFormatting sqref="AQ223 AQ228">
    <cfRule type="cellIs" dxfId="1" priority="2236" operator="equal">
      <formula>"未完成"</formula>
    </cfRule>
    <cfRule type="cellIs" dxfId="0" priority="2237" operator="equal">
      <formula>"未完成"</formula>
    </cfRule>
  </conditionalFormatting>
  <conditionalFormatting sqref="AC224 AC227:AC230 AC234 AC237">
    <cfRule type="cellIs" dxfId="0" priority="2172" operator="equal">
      <formula>"未完成"</formula>
    </cfRule>
  </conditionalFormatting>
  <conditionalFormatting sqref="AH224 AH227 AG228:AH230 AG234:AH234 AG237:AH237">
    <cfRule type="cellIs" dxfId="1" priority="2150" operator="equal">
      <formula>"未完成"</formula>
    </cfRule>
    <cfRule type="cellIs" dxfId="0" priority="2161" operator="equal">
      <formula>"未完成"</formula>
    </cfRule>
  </conditionalFormatting>
  <conditionalFormatting sqref="AI224 AI229:AI230 AI234 AI247:AI248 AI250:AI254 AI274:AI286 AI289:AI290 AI310:AI311 AI302:AI307">
    <cfRule type="cellIs" dxfId="1" priority="2062" operator="equal">
      <formula>"未完成"</formula>
    </cfRule>
    <cfRule type="cellIs" dxfId="0" priority="2073" operator="equal">
      <formula>"未完成"</formula>
    </cfRule>
  </conditionalFormatting>
  <conditionalFormatting sqref="AJ224 AJ227:AJ230 AJ234 AJ237">
    <cfRule type="cellIs" dxfId="1" priority="2106" operator="equal">
      <formula>"未完成"</formula>
    </cfRule>
    <cfRule type="cellIs" dxfId="0" priority="2117" operator="equal">
      <formula>"未完成"</formula>
    </cfRule>
  </conditionalFormatting>
  <conditionalFormatting sqref="AK224:AK227 AK229:AK230 AK234 AK237 AK247:AK254 AK274 AK276:AK286 AK290 AK310:AK311">
    <cfRule type="cellIs" dxfId="1" priority="2084" operator="equal">
      <formula>"未完成"</formula>
    </cfRule>
    <cfRule type="cellIs" dxfId="0" priority="2095" operator="equal">
      <formula>"未完成"</formula>
    </cfRule>
  </conditionalFormatting>
  <conditionalFormatting sqref="AN224:AO224 AO230 AN228:AO229 AN234:AO234 AN237:AO237">
    <cfRule type="cellIs" dxfId="1" priority="2040" operator="equal">
      <formula>"未完成"</formula>
    </cfRule>
    <cfRule type="cellIs" dxfId="0" priority="2051" operator="equal">
      <formula>"未完成"</formula>
    </cfRule>
  </conditionalFormatting>
  <conditionalFormatting sqref="AQ224:AQ225 AQ229:AQ230 AQ234 AQ247:AQ254 AQ274 AQ279:AQ286 AQ290 AQ310:AQ311">
    <cfRule type="cellIs" dxfId="1" priority="2018" operator="equal">
      <formula>"未完成"</formula>
    </cfRule>
    <cfRule type="cellIs" dxfId="0" priority="2029" operator="equal">
      <formula>"未完成"</formula>
    </cfRule>
  </conditionalFormatting>
  <conditionalFormatting sqref="AR224:AT224 AR228:AT230 AR234:AT234 AR237:AT237">
    <cfRule type="cellIs" dxfId="1" priority="2128" operator="equal">
      <formula>"未完成"</formula>
    </cfRule>
    <cfRule type="cellIs" dxfId="0" priority="2139" operator="equal">
      <formula>"未完成"</formula>
    </cfRule>
  </conditionalFormatting>
  <conditionalFormatting sqref="AG225:AH225 AG226:AG227">
    <cfRule type="cellIs" dxfId="1" priority="1747" operator="equal">
      <formula>"未完成"</formula>
    </cfRule>
    <cfRule type="cellIs" dxfId="0" priority="1748" operator="equal">
      <formula>"未完成"</formula>
    </cfRule>
  </conditionalFormatting>
  <conditionalFormatting sqref="AI227 AI225 AI231 AI246 AI249 AI256 AI272:AI273">
    <cfRule type="cellIs" dxfId="1" priority="4661" operator="equal">
      <formula>"未完成"</formula>
    </cfRule>
    <cfRule type="cellIs" dxfId="0" priority="4662" operator="equal">
      <formula>"未完成"</formula>
    </cfRule>
  </conditionalFormatting>
  <conditionalFormatting sqref="R227:T229 T230 R230 R234:T234 S238:S248 R237:T237 S235:S236 R256:S256 S272:S273">
    <cfRule type="cellIs" dxfId="0" priority="1686" operator="equal">
      <formula>"欠"</formula>
    </cfRule>
  </conditionalFormatting>
  <conditionalFormatting sqref="AN231 AN238:AN244 AN246:AN247 AN235:AN236 AN256 AN279:AN283 AN272">
    <cfRule type="cellIs" dxfId="1" priority="1124" operator="equal">
      <formula>"未完成"</formula>
    </cfRule>
    <cfRule type="cellIs" dxfId="0" priority="1125" operator="equal">
      <formula>"未完成"</formula>
    </cfRule>
  </conditionalFormatting>
  <conditionalFormatting sqref="AQ231 AQ246 AQ256 AQ272:AQ273">
    <cfRule type="cellIs" dxfId="1" priority="1122" operator="equal">
      <formula>"未完成"</formula>
    </cfRule>
    <cfRule type="cellIs" dxfId="0" priority="1123" operator="equal">
      <formula>"未完成"</formula>
    </cfRule>
  </conditionalFormatting>
  <conditionalFormatting sqref="AG232:AH233">
    <cfRule type="cellIs" dxfId="1" priority="1099" operator="equal">
      <formula>"未完成"</formula>
    </cfRule>
    <cfRule type="cellIs" dxfId="0" priority="1100" operator="equal">
      <formula>"未完成"</formula>
    </cfRule>
  </conditionalFormatting>
  <conditionalFormatting sqref="AR232:AT233">
    <cfRule type="cellIs" dxfId="1" priority="1097" operator="equal">
      <formula>"未完成"</formula>
    </cfRule>
    <cfRule type="cellIs" dxfId="0" priority="1098" operator="equal">
      <formula>"未完成"</formula>
    </cfRule>
  </conditionalFormatting>
  <conditionalFormatting sqref="R238:R244 R246:R248 R235:R236 R279:R283">
    <cfRule type="cellIs" dxfId="0" priority="1080" operator="equal">
      <formula>"欠"</formula>
    </cfRule>
  </conditionalFormatting>
  <conditionalFormatting sqref="T238:T244 T235:T236">
    <cfRule type="cellIs" dxfId="0" priority="1057" operator="equal">
      <formula>"欠"</formula>
    </cfRule>
  </conditionalFormatting>
  <conditionalFormatting sqref="AC238:AC244 AC246:AC247 AC235:AC236">
    <cfRule type="cellIs" dxfId="0" priority="1075" operator="equal">
      <formula>"未完成"</formula>
    </cfRule>
  </conditionalFormatting>
  <conditionalFormatting sqref="AG238:AH244 AG246:AH247 AG235:AH236 AH279:AH283">
    <cfRule type="cellIs" dxfId="1" priority="1073" operator="equal">
      <formula>"未完成"</formula>
    </cfRule>
    <cfRule type="cellIs" dxfId="0" priority="1074" operator="equal">
      <formula>"未完成"</formula>
    </cfRule>
  </conditionalFormatting>
  <conditionalFormatting sqref="AJ238:AJ244 AJ246:AJ247 AJ235:AJ236 AJ279:AJ283">
    <cfRule type="cellIs" dxfId="1" priority="1069" operator="equal">
      <formula>"未完成"</formula>
    </cfRule>
    <cfRule type="cellIs" dxfId="0" priority="1070" operator="equal">
      <formula>"未完成"</formula>
    </cfRule>
  </conditionalFormatting>
  <conditionalFormatting sqref="AO238:AO244 AO246:AO247 AO235:AO236">
    <cfRule type="cellIs" dxfId="1" priority="1065" operator="equal">
      <formula>"未完成"</formula>
    </cfRule>
    <cfRule type="cellIs" dxfId="0" priority="1066" operator="equal">
      <formula>"未完成"</formula>
    </cfRule>
  </conditionalFormatting>
  <conditionalFormatting sqref="AR238:AT244 AR246:AT247 AR235:AT236">
    <cfRule type="cellIs" dxfId="1" priority="1071" operator="equal">
      <formula>"未完成"</formula>
    </cfRule>
    <cfRule type="cellIs" dxfId="0" priority="1072" operator="equal">
      <formula>"未完成"</formula>
    </cfRule>
  </conditionalFormatting>
  <conditionalFormatting sqref="AG249:AH254">
    <cfRule type="cellIs" dxfId="1" priority="991" operator="equal">
      <formula>"未完成"</formula>
    </cfRule>
    <cfRule type="cellIs" dxfId="0" priority="993" operator="equal">
      <formula>"未完成"</formula>
    </cfRule>
  </conditionalFormatting>
  <conditionalFormatting sqref="AR249:AT254">
    <cfRule type="cellIs" dxfId="1" priority="987" operator="equal">
      <formula>"未完成"</formula>
    </cfRule>
    <cfRule type="cellIs" dxfId="0" priority="989" operator="equal">
      <formula>"未完成"</formula>
    </cfRule>
  </conditionalFormatting>
  <conditionalFormatting sqref="AC256 AC279:AC283">
    <cfRule type="cellIs" dxfId="0" priority="1119" operator="equal">
      <formula>"未完成"</formula>
    </cfRule>
  </conditionalFormatting>
  <conditionalFormatting sqref="AH256 AG279:AG283">
    <cfRule type="cellIs" dxfId="1" priority="1117" operator="equal">
      <formula>"未完成"</formula>
    </cfRule>
    <cfRule type="cellIs" dxfId="0" priority="1118" operator="equal">
      <formula>"未完成"</formula>
    </cfRule>
  </conditionalFormatting>
  <conditionalFormatting sqref="AO256 AO279:AO283 AO272">
    <cfRule type="cellIs" dxfId="1" priority="1107" operator="equal">
      <formula>"未完成"</formula>
    </cfRule>
    <cfRule type="cellIs" dxfId="0" priority="1108" operator="equal">
      <formula>"未完成"</formula>
    </cfRule>
  </conditionalFormatting>
  <conditionalFormatting sqref="AR256:AT256 AR279:AT283">
    <cfRule type="cellIs" dxfId="1" priority="1115" operator="equal">
      <formula>"未完成"</formula>
    </cfRule>
    <cfRule type="cellIs" dxfId="0" priority="1116" operator="equal">
      <formula>"未完成"</formula>
    </cfRule>
  </conditionalFormatting>
  <conditionalFormatting sqref="AC274 AC276:AC278">
    <cfRule type="cellIs" dxfId="0" priority="905" operator="equal">
      <formula>"未完成"</formula>
    </cfRule>
  </conditionalFormatting>
  <conditionalFormatting sqref="AH274 AH276:AH278">
    <cfRule type="cellIs" dxfId="1" priority="896" operator="equal">
      <formula>"未完成"</formula>
    </cfRule>
    <cfRule type="cellIs" dxfId="0" priority="897" operator="equal">
      <formula>"未完成"</formula>
    </cfRule>
  </conditionalFormatting>
  <conditionalFormatting sqref="AJ274 AJ276:AJ278">
    <cfRule type="cellIs" dxfId="1" priority="894" operator="equal">
      <formula>"未完成"</formula>
    </cfRule>
    <cfRule type="cellIs" dxfId="0" priority="895" operator="equal">
      <formula>"未完成"</formula>
    </cfRule>
  </conditionalFormatting>
  <conditionalFormatting sqref="AR274:AT274 AR276:AT278">
    <cfRule type="cellIs" dxfId="1" priority="901" operator="equal">
      <formula>"未完成"</formula>
    </cfRule>
    <cfRule type="cellIs" dxfId="0" priority="902" operator="equal">
      <formula>"未完成"</formula>
    </cfRule>
  </conditionalFormatting>
  <conditionalFormatting sqref="S275:S278 S303:S307">
    <cfRule type="cellIs" dxfId="0" priority="729" operator="equal">
      <formula>"欠"</formula>
    </cfRule>
  </conditionalFormatting>
  <conditionalFormatting sqref="T275:T278 T303:T307">
    <cfRule type="cellIs" dxfId="0" priority="730" operator="equal">
      <formula>"欠"</formula>
    </cfRule>
  </conditionalFormatting>
  <conditionalFormatting sqref="AN275:AN278 AN303:AN307">
    <cfRule type="cellIs" dxfId="1" priority="745" operator="equal">
      <formula>"未完成"</formula>
    </cfRule>
    <cfRule type="cellIs" dxfId="0" priority="746" operator="equal">
      <formula>"未完成"</formula>
    </cfRule>
  </conditionalFormatting>
  <conditionalFormatting sqref="AO275:AO278 AO303:AO307">
    <cfRule type="cellIs" dxfId="1" priority="738" operator="equal">
      <formula>"未完成"</formula>
    </cfRule>
    <cfRule type="cellIs" dxfId="0" priority="739" operator="equal">
      <formula>"未完成"</formula>
    </cfRule>
  </conditionalFormatting>
  <conditionalFormatting sqref="AQ275:AQ278 AQ303:AQ307">
    <cfRule type="cellIs" dxfId="1" priority="727" operator="equal">
      <formula>"未完成"</formula>
    </cfRule>
    <cfRule type="cellIs" dxfId="0" priority="728" operator="equal">
      <formula>"未完成"</formula>
    </cfRule>
  </conditionalFormatting>
  <conditionalFormatting sqref="R284:R286 R290 R310:R311">
    <cfRule type="cellIs" dxfId="0" priority="827" operator="equal">
      <formula>"欠"</formula>
    </cfRule>
  </conditionalFormatting>
  <conditionalFormatting sqref="S284:S286 S290 S310:S311">
    <cfRule type="cellIs" dxfId="0" priority="798" operator="equal">
      <formula>"欠"</formula>
    </cfRule>
  </conditionalFormatting>
  <conditionalFormatting sqref="T284:T286 T290 T310:T311">
    <cfRule type="cellIs" dxfId="0" priority="821" operator="equal">
      <formula>"欠"</formula>
    </cfRule>
  </conditionalFormatting>
  <conditionalFormatting sqref="AC284:AC286 AC290">
    <cfRule type="cellIs" dxfId="0" priority="834" operator="equal">
      <formula>"未完成"</formula>
    </cfRule>
  </conditionalFormatting>
  <conditionalFormatting sqref="AG284:AG286 AG290">
    <cfRule type="cellIs" dxfId="1" priority="832" operator="equal">
      <formula>"未完成"</formula>
    </cfRule>
    <cfRule type="cellIs" dxfId="0" priority="833" operator="equal">
      <formula>"未完成"</formula>
    </cfRule>
  </conditionalFormatting>
  <conditionalFormatting sqref="AH284:AH286 AH290">
    <cfRule type="cellIs" dxfId="1" priority="825" operator="equal">
      <formula>"未完成"</formula>
    </cfRule>
    <cfRule type="cellIs" dxfId="0" priority="826" operator="equal">
      <formula>"未完成"</formula>
    </cfRule>
  </conditionalFormatting>
  <conditionalFormatting sqref="AJ284:AJ286 AJ290">
    <cfRule type="cellIs" dxfId="1" priority="823" operator="equal">
      <formula>"未完成"</formula>
    </cfRule>
    <cfRule type="cellIs" dxfId="0" priority="824" operator="equal">
      <formula>"未完成"</formula>
    </cfRule>
  </conditionalFormatting>
  <conditionalFormatting sqref="AN284:AN286 AN290">
    <cfRule type="cellIs" dxfId="1" priority="835" operator="equal">
      <formula>"未完成"</formula>
    </cfRule>
    <cfRule type="cellIs" dxfId="0" priority="836" operator="equal">
      <formula>"未完成"</formula>
    </cfRule>
  </conditionalFormatting>
  <conditionalFormatting sqref="AO284:AO286 AO290">
    <cfRule type="cellIs" dxfId="1" priority="828" operator="equal">
      <formula>"未完成"</formula>
    </cfRule>
    <cfRule type="cellIs" dxfId="0" priority="829" operator="equal">
      <formula>"未完成"</formula>
    </cfRule>
  </conditionalFormatting>
  <conditionalFormatting sqref="AR284:AT286 AR290:AT290">
    <cfRule type="cellIs" dxfId="1" priority="830" operator="equal">
      <formula>"未完成"</formula>
    </cfRule>
    <cfRule type="cellIs" dxfId="0" priority="831" operator="equal">
      <formula>"未完成"</formula>
    </cfRule>
  </conditionalFormatting>
  <conditionalFormatting sqref="AR288:AT289">
    <cfRule type="cellIs" dxfId="1" priority="11" operator="equal">
      <formula>"未完成"</formula>
    </cfRule>
    <cfRule type="cellIs" dxfId="0" priority="12" operator="equal">
      <formula>"未完成"</formula>
    </cfRule>
  </conditionalFormatting>
  <conditionalFormatting sqref="AG300:AH302">
    <cfRule type="cellIs" dxfId="1" priority="280" operator="equal">
      <formula>"未完成"</formula>
    </cfRule>
    <cfRule type="cellIs" dxfId="0" priority="289" operator="equal">
      <formula>"未完成"</formula>
    </cfRule>
  </conditionalFormatting>
  <conditionalFormatting sqref="AR300:AT302">
    <cfRule type="cellIs" dxfId="1" priority="262" operator="equal">
      <formula>"未完成"</formula>
    </cfRule>
    <cfRule type="cellIs" dxfId="0" priority="271" operator="equal">
      <formula>"未完成"</formula>
    </cfRule>
  </conditionalFormatting>
  <conditionalFormatting sqref="AR308:AT309">
    <cfRule type="cellIs" dxfId="1" priority="75" operator="equal">
      <formula>"未完成"</formula>
    </cfRule>
    <cfRule type="cellIs" dxfId="0" priority="76" operator="equal">
      <formula>"未完成"</formula>
    </cfRule>
  </conditionalFormatting>
  <conditionalFormatting sqref="R312:R313 T312:T313 T327:T329 R327:R329">
    <cfRule type="cellIs" dxfId="0" priority="14226" operator="equal">
      <formula>"欠"</formula>
    </cfRule>
  </conditionalFormatting>
  <conditionalFormatting sqref="AC312:AC313 AC316">
    <cfRule type="cellIs" dxfId="0" priority="14219" operator="equal">
      <formula>"未完成"</formula>
    </cfRule>
  </conditionalFormatting>
  <conditionalFormatting sqref="AG312:AH313 AD327:AF327 AD329:AF330 AG327:AH330 AG316:AH316">
    <cfRule type="cellIs" dxfId="1" priority="14228" operator="equal">
      <formula>"未完成"</formula>
    </cfRule>
    <cfRule type="cellIs" dxfId="0" priority="14229" operator="equal">
      <formula>"未完成"</formula>
    </cfRule>
  </conditionalFormatting>
  <conditionalFormatting sqref="AD326 AD317 AD320:AD324 M314 AJ318:AJ319">
    <cfRule type="cellIs" dxfId="1" priority="14192" operator="equal">
      <formula>"未完成"</formula>
    </cfRule>
    <cfRule type="cellIs" dxfId="0" priority="14193" operator="equal">
      <formula>"未完成"</formula>
    </cfRule>
  </conditionalFormatting>
  <conditionalFormatting sqref="AG326:AH326 O314:P314 AG317:AH317 AG320:AH324 AR318 AM318:AN318">
    <cfRule type="cellIs" dxfId="1" priority="14194" operator="equal">
      <formula>"未完成"</formula>
    </cfRule>
    <cfRule type="cellIs" dxfId="0" priority="14195" operator="equal">
      <formula>"未完成"</formula>
    </cfRule>
  </conditionalFormatting>
  <conditionalFormatting sqref="AC314 AI318:AI319 AC317 AC320:AC324 AC326 AG315">
    <cfRule type="cellIs" dxfId="0" priority="14189" operator="equal">
      <formula>"未完成"</formula>
    </cfRule>
    <cfRule type="cellIs" dxfId="1" priority="14190" operator="equal">
      <formula>"未完成"</formula>
    </cfRule>
  </conditionalFormatting>
  <conditionalFormatting sqref="R326 T326 AJ315">
    <cfRule type="cellIs" dxfId="0" priority="14186" operator="equal">
      <formula>"欠"</formula>
    </cfRule>
  </conditionalFormatting>
  <conditionalFormatting sqref="S326 AK315">
    <cfRule type="cellIs" dxfId="0" priority="14185" operator="equal">
      <formula>"欠"</formula>
    </cfRule>
  </conditionalFormatting>
  <conditionalFormatting sqref="R316 T316">
    <cfRule type="cellIs" dxfId="0" priority="14203" operator="equal">
      <formula>"欠"</formula>
    </cfRule>
  </conditionalFormatting>
  <conditionalFormatting sqref="AE326:AF326 AE317:AF317 AE320:AF324 AK318:AL319">
    <cfRule type="cellIs" dxfId="1" priority="14196" operator="equal">
      <formula>"未完成"</formula>
    </cfRule>
    <cfRule type="cellIs" dxfId="0" priority="14197" operator="equal">
      <formula>"未完成"</formula>
    </cfRule>
  </conditionalFormatting>
  <conditionalFormatting sqref="R320 T320 Z318 X318">
    <cfRule type="cellIs" dxfId="0" priority="14184" operator="equal">
      <formula>"欠"</formula>
    </cfRule>
  </conditionalFormatting>
  <conditionalFormatting sqref="S320 Y318">
    <cfRule type="cellIs" dxfId="0" priority="14183" operator="equal">
      <formula>"欠"</formula>
    </cfRule>
  </conditionalFormatting>
  <conditionalFormatting sqref="R323 T323 X319 Z319">
    <cfRule type="cellIs" dxfId="0" priority="14147" operator="equal">
      <formula>"欠"</formula>
    </cfRule>
  </conditionalFormatting>
  <conditionalFormatting sqref="S323 Y319">
    <cfRule type="cellIs" dxfId="0" priority="14146" operator="equal">
      <formula>"欠"</formula>
    </cfRule>
  </conditionalFormatting>
  <conditionalFormatting sqref="T321 R321">
    <cfRule type="cellIs" dxfId="0" priority="14145" operator="equal">
      <formula>"欠"</formula>
    </cfRule>
  </conditionalFormatting>
  <conditionalFormatting sqref="T322 R324 T324 R322">
    <cfRule type="cellIs" dxfId="0" priority="14143" operator="equal">
      <formula>"欠"</formula>
    </cfRule>
  </conditionalFormatting>
  <conditionalFormatting sqref="S322 S324">
    <cfRule type="cellIs" dxfId="0" priority="14142" operator="equal">
      <formula>"欠"</formula>
    </cfRule>
  </conditionalFormatting>
  <conditionalFormatting sqref="R330 T330">
    <cfRule type="cellIs" dxfId="0" priority="14227" operator="equal">
      <formula>"欠"</formula>
    </cfRule>
  </conditionalFormatting>
  <conditionalFormatting sqref="AG389:AH391">
    <cfRule type="cellIs" dxfId="1" priority="14053" operator="equal">
      <formula>"未完成"</formula>
    </cfRule>
    <cfRule type="cellIs" dxfId="0" priority="14054" operator="equal">
      <formula>"未完成"</formula>
    </cfRule>
  </conditionalFormatting>
  <conditionalFormatting sqref="AI392 AQ392:AT392 AN392:AO392">
    <cfRule type="cellIs" dxfId="1" priority="13568" operator="equal">
      <formula>"未完成"</formula>
    </cfRule>
    <cfRule type="cellIs" dxfId="0" priority="13569" operator="equal">
      <formula>"未完成"</formula>
    </cfRule>
  </conditionalFormatting>
  <conditionalFormatting sqref="AI393 AN393:AO393 AQ393:AT393">
    <cfRule type="cellIs" dxfId="1" priority="13514" operator="equal">
      <formula>"未完成"</formula>
    </cfRule>
    <cfRule type="cellIs" dxfId="0" priority="13515" operator="equal">
      <formula>"未完成"</formula>
    </cfRule>
  </conditionalFormatting>
  <conditionalFormatting sqref="AI395 AQ395">
    <cfRule type="cellIs" dxfId="1" priority="13095" operator="equal">
      <formula>"未完成"</formula>
    </cfRule>
    <cfRule type="cellIs" dxfId="0" priority="13100" operator="equal">
      <formula>"未完成"</formula>
    </cfRule>
  </conditionalFormatting>
  <conditionalFormatting sqref="AI397:AI398 AQ397:AT398">
    <cfRule type="cellIs" dxfId="1" priority="13562" operator="equal">
      <formula>"未完成"</formula>
    </cfRule>
    <cfRule type="cellIs" dxfId="0" priority="13563" operator="equal">
      <formula>"未完成"</formula>
    </cfRule>
  </conditionalFormatting>
  <conditionalFormatting sqref="AN397:AO398">
    <cfRule type="cellIs" dxfId="1" priority="13233" operator="equal">
      <formula>"未完成"</formula>
    </cfRule>
    <cfRule type="cellIs" dxfId="0" priority="13234" operator="equal">
      <formula>"未完成"</formula>
    </cfRule>
  </conditionalFormatting>
  <dataValidations count="2">
    <dataValidation type="list" allowBlank="1" showInputMessage="1" showErrorMessage="1" sqref="S73">
      <formula1>"有,无"</formula1>
    </dataValidation>
    <dataValidation type="list" allowBlank="1" showInputMessage="1" showErrorMessage="1" sqref="AC287 AC288 AC289 AC290 AC291 AC302 AC308 AC309 AG315 AC2:AC33 AC43:AC46 AC50:AC72 AC74:AC286 AC292:AC301 AC303:AC307 AC310:AC314 AC316:AC317 AC320:AC333 AC358:AC1048576 AD338:AD357 AI318:AI319">
      <formula1>"未完成,已完成,OK"</formula1>
    </dataValidation>
  </dataValidations>
  <pageMargins left="0.0777777777777778" right="0.118055555555556" top="0.196527777777778" bottom="0.196527777777778" header="0.15625" footer="0.0777777777777778"/>
  <pageSetup paperSize="9" scale="49" orientation="landscape" horizontalDpi="600"/>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2"/>
  <sheetViews>
    <sheetView zoomScale="90" zoomScaleNormal="90" workbookViewId="0">
      <pane xSplit="7" ySplit="2" topLeftCell="H3" activePane="bottomRight" state="frozen"/>
      <selection/>
      <selection pane="topRight"/>
      <selection pane="bottomLeft"/>
      <selection pane="bottomRight" activeCell="H213" sqref="H213"/>
    </sheetView>
  </sheetViews>
  <sheetFormatPr defaultColWidth="9" defaultRowHeight="13.5"/>
  <cols>
    <col min="1" max="2" width="9" style="736"/>
    <col min="3" max="3" width="10.3333333333333" style="736"/>
    <col min="4" max="4" width="17.025" style="736" customWidth="1"/>
    <col min="5" max="5" width="9" style="736"/>
    <col min="6" max="6" width="12.5833333333333" style="736" customWidth="1"/>
    <col min="7" max="8" width="9" style="736"/>
    <col min="9" max="10" width="9.225" style="736"/>
    <col min="11" max="13" width="9" style="736"/>
    <col min="14" max="14" width="31.125" style="736" customWidth="1"/>
    <col min="15" max="16384" width="9" style="736"/>
  </cols>
  <sheetData>
    <row r="1" ht="34" customHeight="1" spans="1:14">
      <c r="A1" s="745" t="s">
        <v>2306</v>
      </c>
      <c r="B1" s="745"/>
      <c r="C1" s="745"/>
      <c r="D1" s="745"/>
      <c r="E1" s="745"/>
      <c r="F1" s="745"/>
      <c r="G1" s="745"/>
      <c r="H1" s="745"/>
      <c r="I1" s="745"/>
      <c r="J1" s="745"/>
      <c r="K1" s="745"/>
      <c r="L1" s="746"/>
      <c r="M1" s="745"/>
      <c r="N1" s="745"/>
    </row>
    <row r="2" ht="22" customHeight="1" spans="1:14">
      <c r="A2" s="740" t="s">
        <v>2307</v>
      </c>
      <c r="B2" s="740" t="s">
        <v>2308</v>
      </c>
      <c r="C2" s="740" t="s">
        <v>2309</v>
      </c>
      <c r="D2" s="740" t="s">
        <v>2310</v>
      </c>
      <c r="E2" s="740" t="s">
        <v>2311</v>
      </c>
      <c r="F2" s="740" t="s">
        <v>2312</v>
      </c>
      <c r="G2" s="740" t="s">
        <v>2313</v>
      </c>
      <c r="H2" s="795" t="s">
        <v>2314</v>
      </c>
      <c r="I2" s="797" t="s">
        <v>2315</v>
      </c>
      <c r="J2" s="797"/>
      <c r="K2" s="795" t="s">
        <v>2316</v>
      </c>
      <c r="L2" s="798" t="s">
        <v>2317</v>
      </c>
      <c r="M2" s="799"/>
      <c r="N2" s="755" t="s">
        <v>20</v>
      </c>
    </row>
    <row r="3" s="737" customFormat="1" ht="16" customHeight="1" spans="1:14">
      <c r="A3" s="741">
        <v>44930</v>
      </c>
      <c r="B3" s="742" t="s">
        <v>2318</v>
      </c>
      <c r="C3" s="744" t="s">
        <v>2319</v>
      </c>
      <c r="D3" s="743">
        <v>77425</v>
      </c>
      <c r="E3" s="743">
        <v>20000</v>
      </c>
      <c r="F3" s="744" t="s">
        <v>2320</v>
      </c>
      <c r="G3" s="743" t="s">
        <v>2321</v>
      </c>
      <c r="H3" s="749">
        <v>20000</v>
      </c>
      <c r="I3" s="749"/>
      <c r="J3" s="749"/>
      <c r="K3" s="749"/>
      <c r="L3" s="749"/>
      <c r="M3" s="743"/>
      <c r="N3" s="756"/>
    </row>
    <row r="4" s="737" customFormat="1" ht="15" customHeight="1" spans="1:14">
      <c r="A4" s="741">
        <v>44930</v>
      </c>
      <c r="B4" s="742" t="s">
        <v>2318</v>
      </c>
      <c r="C4" s="743" t="s">
        <v>2322</v>
      </c>
      <c r="D4" s="743">
        <v>77425</v>
      </c>
      <c r="E4" s="743">
        <v>20000</v>
      </c>
      <c r="F4" s="744" t="s">
        <v>2323</v>
      </c>
      <c r="G4" s="743" t="s">
        <v>2321</v>
      </c>
      <c r="H4" s="749"/>
      <c r="I4" s="749">
        <v>20000</v>
      </c>
      <c r="J4" s="749"/>
      <c r="K4" s="749"/>
      <c r="L4" s="749"/>
      <c r="M4" s="743"/>
      <c r="N4" s="756"/>
    </row>
    <row r="5" s="737" customFormat="1" ht="16" customHeight="1" spans="1:14">
      <c r="A5" s="741">
        <v>44991</v>
      </c>
      <c r="B5" s="742" t="s">
        <v>2318</v>
      </c>
      <c r="C5" s="744">
        <v>1000013388</v>
      </c>
      <c r="D5" s="743">
        <v>77425</v>
      </c>
      <c r="E5" s="743">
        <v>5000</v>
      </c>
      <c r="F5" s="744" t="s">
        <v>2320</v>
      </c>
      <c r="G5" s="743" t="s">
        <v>2321</v>
      </c>
      <c r="H5" s="749"/>
      <c r="I5" s="749"/>
      <c r="J5" s="749"/>
      <c r="K5" s="749">
        <v>5000</v>
      </c>
      <c r="L5" s="749"/>
      <c r="M5" s="743"/>
      <c r="N5" s="756"/>
    </row>
    <row r="6" s="737" customFormat="1" ht="16" customHeight="1" spans="1:14">
      <c r="A6" s="741"/>
      <c r="B6" s="742"/>
      <c r="C6" s="744"/>
      <c r="D6" s="762">
        <v>77425</v>
      </c>
      <c r="E6" s="762" t="s">
        <v>2324</v>
      </c>
      <c r="F6" s="744"/>
      <c r="G6" s="743"/>
      <c r="H6" s="749"/>
      <c r="I6" s="749"/>
      <c r="J6" s="749"/>
      <c r="K6" s="749"/>
      <c r="L6" s="749">
        <v>3000</v>
      </c>
      <c r="M6" s="743"/>
      <c r="N6" s="756"/>
    </row>
    <row r="7" s="737" customFormat="1" ht="15" customHeight="1" spans="1:14">
      <c r="A7" s="741">
        <v>45023</v>
      </c>
      <c r="B7" s="743" t="s">
        <v>2318</v>
      </c>
      <c r="C7" s="743" t="s">
        <v>2325</v>
      </c>
      <c r="D7" s="743">
        <v>77425</v>
      </c>
      <c r="E7" s="743">
        <v>10000</v>
      </c>
      <c r="F7" s="744" t="s">
        <v>2320</v>
      </c>
      <c r="G7" s="743" t="s">
        <v>2321</v>
      </c>
      <c r="H7" s="749">
        <v>10000</v>
      </c>
      <c r="I7" s="749"/>
      <c r="J7" s="749"/>
      <c r="K7" s="749"/>
      <c r="L7" s="749"/>
      <c r="M7" s="743"/>
      <c r="N7" s="756"/>
    </row>
    <row r="8" s="737" customFormat="1" ht="15" customHeight="1" spans="1:14">
      <c r="A8" s="741">
        <v>45023</v>
      </c>
      <c r="B8" s="743" t="s">
        <v>2318</v>
      </c>
      <c r="C8" s="743" t="s">
        <v>2326</v>
      </c>
      <c r="D8" s="743">
        <v>77425</v>
      </c>
      <c r="E8" s="743">
        <v>20000</v>
      </c>
      <c r="F8" s="744" t="s">
        <v>2323</v>
      </c>
      <c r="G8" s="743" t="s">
        <v>2321</v>
      </c>
      <c r="H8" s="749"/>
      <c r="I8" s="749">
        <v>20000</v>
      </c>
      <c r="J8" s="749"/>
      <c r="K8" s="749"/>
      <c r="L8" s="749"/>
      <c r="M8" s="743"/>
      <c r="N8" s="756"/>
    </row>
    <row r="9" s="737" customFormat="1" ht="15" customHeight="1" spans="1:14">
      <c r="A9" s="741">
        <v>45034</v>
      </c>
      <c r="B9" s="743" t="s">
        <v>2318</v>
      </c>
      <c r="C9" s="743" t="s">
        <v>2327</v>
      </c>
      <c r="D9" s="743">
        <v>77425</v>
      </c>
      <c r="E9" s="743">
        <v>10000</v>
      </c>
      <c r="F9" s="744" t="s">
        <v>2320</v>
      </c>
      <c r="G9" s="743" t="s">
        <v>2321</v>
      </c>
      <c r="H9" s="749">
        <v>10000</v>
      </c>
      <c r="I9" s="749"/>
      <c r="J9" s="749"/>
      <c r="K9" s="749"/>
      <c r="L9" s="749"/>
      <c r="M9" s="743"/>
      <c r="N9" s="756"/>
    </row>
    <row r="10" s="737" customFormat="1" ht="15" customHeight="1" spans="1:14">
      <c r="A10" s="741">
        <v>45034</v>
      </c>
      <c r="B10" s="743" t="s">
        <v>2318</v>
      </c>
      <c r="C10" s="743" t="s">
        <v>2328</v>
      </c>
      <c r="D10" s="743">
        <v>77425</v>
      </c>
      <c r="E10" s="743">
        <v>10000</v>
      </c>
      <c r="F10" s="744" t="s">
        <v>2323</v>
      </c>
      <c r="G10" s="743" t="s">
        <v>2321</v>
      </c>
      <c r="H10" s="749"/>
      <c r="I10" s="749">
        <v>10000</v>
      </c>
      <c r="J10" s="749"/>
      <c r="K10" s="749"/>
      <c r="L10" s="749"/>
      <c r="M10" s="743"/>
      <c r="N10" s="756"/>
    </row>
    <row r="11" s="737" customFormat="1" ht="15" customHeight="1" spans="1:14">
      <c r="A11" s="741">
        <v>45043</v>
      </c>
      <c r="B11" s="743" t="s">
        <v>2318</v>
      </c>
      <c r="C11" s="743" t="s">
        <v>2329</v>
      </c>
      <c r="D11" s="743">
        <v>77425</v>
      </c>
      <c r="E11" s="743">
        <v>20000</v>
      </c>
      <c r="F11" s="744" t="s">
        <v>2320</v>
      </c>
      <c r="G11" s="743" t="s">
        <v>2321</v>
      </c>
      <c r="H11" s="749">
        <v>20000</v>
      </c>
      <c r="I11" s="749"/>
      <c r="J11" s="749"/>
      <c r="K11" s="749"/>
      <c r="L11" s="749"/>
      <c r="M11" s="743"/>
      <c r="N11" s="756"/>
    </row>
    <row r="12" s="737" customFormat="1" ht="15" customHeight="1" spans="1:14">
      <c r="A12" s="741">
        <v>45043</v>
      </c>
      <c r="B12" s="743" t="s">
        <v>2318</v>
      </c>
      <c r="C12" s="743" t="s">
        <v>2330</v>
      </c>
      <c r="D12" s="743">
        <v>77425</v>
      </c>
      <c r="E12" s="743">
        <v>10000</v>
      </c>
      <c r="F12" s="744" t="s">
        <v>2320</v>
      </c>
      <c r="G12" s="743" t="s">
        <v>2321</v>
      </c>
      <c r="H12" s="749"/>
      <c r="I12" s="749"/>
      <c r="J12" s="749"/>
      <c r="K12" s="749">
        <v>10000</v>
      </c>
      <c r="L12" s="749"/>
      <c r="M12" s="743"/>
      <c r="N12" s="756"/>
    </row>
    <row r="13" s="737" customFormat="1" ht="15" customHeight="1" spans="1:14">
      <c r="A13" s="741">
        <v>45043</v>
      </c>
      <c r="B13" s="743" t="s">
        <v>2318</v>
      </c>
      <c r="C13" s="743" t="s">
        <v>2331</v>
      </c>
      <c r="D13" s="743">
        <v>77425</v>
      </c>
      <c r="E13" s="743">
        <v>25000</v>
      </c>
      <c r="F13" s="744" t="s">
        <v>2323</v>
      </c>
      <c r="G13" s="743" t="s">
        <v>2321</v>
      </c>
      <c r="H13" s="749"/>
      <c r="I13" s="749">
        <v>25000</v>
      </c>
      <c r="J13" s="749"/>
      <c r="K13" s="749"/>
      <c r="L13" s="749"/>
      <c r="M13" s="743"/>
      <c r="N13" s="756"/>
    </row>
    <row r="14" s="737" customFormat="1" ht="15" customHeight="1" spans="1:14">
      <c r="A14" s="741">
        <v>45111</v>
      </c>
      <c r="B14" s="743" t="s">
        <v>2318</v>
      </c>
      <c r="C14" s="743" t="s">
        <v>2332</v>
      </c>
      <c r="D14" s="743">
        <v>77425</v>
      </c>
      <c r="E14" s="743">
        <v>20000</v>
      </c>
      <c r="F14" s="744" t="s">
        <v>2320</v>
      </c>
      <c r="G14" s="743" t="s">
        <v>2321</v>
      </c>
      <c r="H14" s="749">
        <v>20000</v>
      </c>
      <c r="I14" s="749"/>
      <c r="J14" s="749"/>
      <c r="K14" s="749"/>
      <c r="L14" s="749"/>
      <c r="M14" s="743"/>
      <c r="N14" s="756"/>
    </row>
    <row r="15" s="737" customFormat="1" ht="15" customHeight="1" spans="1:14">
      <c r="A15" s="741">
        <v>45111</v>
      </c>
      <c r="B15" s="743" t="s">
        <v>2318</v>
      </c>
      <c r="C15" s="743" t="s">
        <v>2333</v>
      </c>
      <c r="D15" s="743">
        <v>77425</v>
      </c>
      <c r="E15" s="743">
        <v>15000</v>
      </c>
      <c r="F15" s="744" t="s">
        <v>2323</v>
      </c>
      <c r="G15" s="743" t="s">
        <v>2321</v>
      </c>
      <c r="H15" s="749"/>
      <c r="I15" s="749">
        <v>15000</v>
      </c>
      <c r="J15" s="749"/>
      <c r="K15" s="749"/>
      <c r="L15" s="749"/>
      <c r="M15" s="743"/>
      <c r="N15" s="756"/>
    </row>
    <row r="16" s="737" customFormat="1" ht="15" customHeight="1" spans="1:14">
      <c r="A16" s="741">
        <v>45111</v>
      </c>
      <c r="B16" s="743" t="s">
        <v>2318</v>
      </c>
      <c r="C16" s="743" t="s">
        <v>2334</v>
      </c>
      <c r="D16" s="743">
        <v>77425</v>
      </c>
      <c r="E16" s="743">
        <v>5000</v>
      </c>
      <c r="F16" s="744" t="s">
        <v>2320</v>
      </c>
      <c r="G16" s="743" t="s">
        <v>2321</v>
      </c>
      <c r="H16" s="749"/>
      <c r="I16" s="749"/>
      <c r="J16" s="749"/>
      <c r="K16" s="749">
        <v>5000</v>
      </c>
      <c r="L16" s="749"/>
      <c r="M16" s="743"/>
      <c r="N16" s="756"/>
    </row>
    <row r="17" s="737" customFormat="1" ht="15" customHeight="1" spans="1:14">
      <c r="A17" s="741">
        <v>45128</v>
      </c>
      <c r="B17" s="743" t="s">
        <v>2318</v>
      </c>
      <c r="C17" s="743" t="s">
        <v>2335</v>
      </c>
      <c r="D17" s="743">
        <v>77425</v>
      </c>
      <c r="E17" s="743">
        <v>10000</v>
      </c>
      <c r="F17" s="744" t="s">
        <v>2323</v>
      </c>
      <c r="G17" s="743" t="s">
        <v>2321</v>
      </c>
      <c r="H17" s="749"/>
      <c r="I17" s="749">
        <v>10000</v>
      </c>
      <c r="J17" s="749"/>
      <c r="K17" s="749"/>
      <c r="L17" s="749"/>
      <c r="M17" s="743"/>
      <c r="N17" s="756"/>
    </row>
    <row r="18" s="737" customFormat="1" ht="15" customHeight="1" spans="1:14">
      <c r="A18" s="741">
        <v>45142</v>
      </c>
      <c r="B18" s="743" t="s">
        <v>2318</v>
      </c>
      <c r="C18" s="743" t="s">
        <v>2336</v>
      </c>
      <c r="D18" s="743">
        <v>77425</v>
      </c>
      <c r="E18" s="743">
        <v>15000</v>
      </c>
      <c r="F18" s="744" t="s">
        <v>2320</v>
      </c>
      <c r="G18" s="743" t="s">
        <v>2321</v>
      </c>
      <c r="H18" s="749">
        <v>15000</v>
      </c>
      <c r="I18" s="749"/>
      <c r="J18" s="749"/>
      <c r="K18" s="749"/>
      <c r="L18" s="749"/>
      <c r="M18" s="743"/>
      <c r="N18" s="756"/>
    </row>
    <row r="19" s="737" customFormat="1" ht="15" customHeight="1" spans="1:14">
      <c r="A19" s="741">
        <v>45142</v>
      </c>
      <c r="B19" s="743" t="s">
        <v>2318</v>
      </c>
      <c r="C19" s="743" t="s">
        <v>2337</v>
      </c>
      <c r="D19" s="743">
        <v>77425</v>
      </c>
      <c r="E19" s="743">
        <v>10000</v>
      </c>
      <c r="F19" s="744" t="s">
        <v>2323</v>
      </c>
      <c r="G19" s="743" t="s">
        <v>2321</v>
      </c>
      <c r="H19" s="749"/>
      <c r="I19" s="749">
        <v>10000</v>
      </c>
      <c r="J19" s="749"/>
      <c r="K19" s="749"/>
      <c r="L19" s="749"/>
      <c r="M19" s="743"/>
      <c r="N19" s="756"/>
    </row>
    <row r="20" s="737" customFormat="1" ht="15" customHeight="1" spans="1:14">
      <c r="A20" s="741">
        <v>45475</v>
      </c>
      <c r="B20" s="743" t="s">
        <v>2318</v>
      </c>
      <c r="C20" s="743" t="s">
        <v>2338</v>
      </c>
      <c r="D20" s="743">
        <v>77425</v>
      </c>
      <c r="E20" s="743">
        <v>2000</v>
      </c>
      <c r="F20" s="744" t="s">
        <v>2320</v>
      </c>
      <c r="G20" s="743" t="s">
        <v>2321</v>
      </c>
      <c r="H20" s="749"/>
      <c r="I20" s="749"/>
      <c r="J20" s="749"/>
      <c r="K20" s="749">
        <v>2000</v>
      </c>
      <c r="L20" s="749"/>
      <c r="M20" s="743"/>
      <c r="N20" s="756"/>
    </row>
    <row r="21" s="737" customFormat="1" ht="15" customHeight="1" spans="1:14">
      <c r="A21" s="741">
        <v>45490</v>
      </c>
      <c r="B21" s="743" t="s">
        <v>2318</v>
      </c>
      <c r="C21" s="743" t="s">
        <v>2339</v>
      </c>
      <c r="D21" s="743">
        <v>77425</v>
      </c>
      <c r="E21" s="743">
        <v>5000</v>
      </c>
      <c r="F21" s="744" t="s">
        <v>2323</v>
      </c>
      <c r="G21" s="743" t="s">
        <v>2321</v>
      </c>
      <c r="H21" s="749"/>
      <c r="I21" s="749">
        <v>5000</v>
      </c>
      <c r="J21" s="749"/>
      <c r="K21" s="749"/>
      <c r="L21" s="749"/>
      <c r="M21" s="743"/>
      <c r="N21" s="756"/>
    </row>
    <row r="22" s="737" customFormat="1" ht="15" customHeight="1" spans="1:14">
      <c r="A22" s="759">
        <v>45559</v>
      </c>
      <c r="B22" s="762" t="s">
        <v>2318</v>
      </c>
      <c r="C22" s="762" t="s">
        <v>2340</v>
      </c>
      <c r="D22" s="762">
        <v>77425</v>
      </c>
      <c r="E22" s="762">
        <v>3436</v>
      </c>
      <c r="F22" s="761" t="s">
        <v>2320</v>
      </c>
      <c r="G22" s="762" t="s">
        <v>2321</v>
      </c>
      <c r="H22" s="778">
        <v>3436</v>
      </c>
      <c r="I22" s="778"/>
      <c r="J22" s="778"/>
      <c r="K22" s="778"/>
      <c r="L22" s="749"/>
      <c r="M22" s="743"/>
      <c r="N22" s="756"/>
    </row>
    <row r="23" s="737" customFormat="1" ht="15" customHeight="1" spans="1:14">
      <c r="A23" s="759">
        <v>45559</v>
      </c>
      <c r="B23" s="762" t="s">
        <v>2318</v>
      </c>
      <c r="C23" s="762" t="s">
        <v>2341</v>
      </c>
      <c r="D23" s="762">
        <v>77425</v>
      </c>
      <c r="E23" s="762">
        <v>2456</v>
      </c>
      <c r="F23" s="761" t="s">
        <v>2323</v>
      </c>
      <c r="G23" s="762" t="s">
        <v>2321</v>
      </c>
      <c r="H23" s="778"/>
      <c r="I23" s="778">
        <v>2456</v>
      </c>
      <c r="J23" s="778"/>
      <c r="K23" s="778"/>
      <c r="L23" s="749"/>
      <c r="M23" s="743"/>
      <c r="N23" s="756" t="s">
        <v>2342</v>
      </c>
    </row>
    <row r="24" s="737" customFormat="1" ht="15" customHeight="1" spans="1:14">
      <c r="A24" s="741"/>
      <c r="B24" s="743"/>
      <c r="C24" s="743"/>
      <c r="D24" s="743"/>
      <c r="E24" s="743"/>
      <c r="F24" s="744"/>
      <c r="G24" s="744"/>
      <c r="H24" s="749"/>
      <c r="I24" s="749"/>
      <c r="J24" s="749"/>
      <c r="K24" s="749"/>
      <c r="L24" s="749"/>
      <c r="M24" s="743"/>
      <c r="N24" s="756" t="s">
        <v>2342</v>
      </c>
    </row>
    <row r="25" spans="1:14">
      <c r="A25" s="790"/>
      <c r="B25" s="743"/>
      <c r="C25" s="791"/>
      <c r="D25" s="791"/>
      <c r="E25" s="791"/>
      <c r="F25" s="792"/>
      <c r="G25" s="792"/>
      <c r="H25" s="764"/>
      <c r="I25" s="764"/>
      <c r="J25" s="764"/>
      <c r="K25" s="764"/>
      <c r="L25" s="766"/>
      <c r="M25" s="784"/>
      <c r="N25" s="784"/>
    </row>
    <row r="26" spans="1:14">
      <c r="A26" s="763"/>
      <c r="B26" s="764"/>
      <c r="C26" s="764"/>
      <c r="D26" s="765"/>
      <c r="E26" s="765"/>
      <c r="F26" s="766"/>
      <c r="G26" s="765"/>
      <c r="H26" s="764"/>
      <c r="I26" s="764"/>
      <c r="J26" s="764"/>
      <c r="K26" s="764"/>
      <c r="L26" s="766"/>
      <c r="M26" s="784"/>
      <c r="N26" s="784"/>
    </row>
    <row r="27" spans="1:14">
      <c r="A27" s="767" t="s">
        <v>2343</v>
      </c>
      <c r="B27" s="768"/>
      <c r="C27" s="768"/>
      <c r="D27" s="768"/>
      <c r="E27" s="768"/>
      <c r="F27" s="768"/>
      <c r="G27" s="769"/>
      <c r="H27" s="796">
        <f>SUM(H3:H26)</f>
        <v>98436</v>
      </c>
      <c r="I27" s="800">
        <f>SUM(I3:I26)</f>
        <v>117456</v>
      </c>
      <c r="J27" s="800">
        <f>SUM(J3:J26)</f>
        <v>0</v>
      </c>
      <c r="K27" s="800">
        <f>SUM(K3:K26)</f>
        <v>22000</v>
      </c>
      <c r="L27" s="800">
        <f>SUM(L3:L26)</f>
        <v>3000</v>
      </c>
      <c r="M27" s="785"/>
      <c r="N27" s="785"/>
    </row>
    <row r="28" spans="1:14">
      <c r="A28" s="775"/>
      <c r="B28" s="776"/>
      <c r="C28" s="776"/>
      <c r="D28" s="776"/>
      <c r="E28" s="776"/>
      <c r="F28" s="776"/>
      <c r="G28" s="777"/>
      <c r="H28" s="781"/>
      <c r="I28" s="781"/>
      <c r="J28" s="781"/>
      <c r="K28" s="781"/>
      <c r="L28" s="781"/>
      <c r="M28" s="786"/>
      <c r="N28" s="786"/>
    </row>
    <row r="29" spans="1:14">
      <c r="A29" s="767" t="s">
        <v>2344</v>
      </c>
      <c r="B29" s="768"/>
      <c r="C29" s="768"/>
      <c r="D29" s="768"/>
      <c r="E29" s="768"/>
      <c r="F29" s="768"/>
      <c r="G29" s="769"/>
      <c r="H29" s="780">
        <f>'77425明细 '!AK20+H32</f>
        <v>95060</v>
      </c>
      <c r="I29" s="780">
        <f>'77425明细 '!AL20+I32</f>
        <v>115160</v>
      </c>
      <c r="J29" s="780"/>
      <c r="K29" s="780">
        <f>'77425明细 '!AM20+K32</f>
        <v>22020</v>
      </c>
      <c r="L29" s="780">
        <f>'77425明细 '!AN20+L32</f>
        <v>3000</v>
      </c>
      <c r="M29" s="785"/>
      <c r="N29" s="785"/>
    </row>
    <row r="30" spans="1:14">
      <c r="A30" s="793"/>
      <c r="B30" s="793"/>
      <c r="C30" s="793"/>
      <c r="D30" s="793"/>
      <c r="E30" s="793"/>
      <c r="F30" s="794"/>
      <c r="G30" s="794"/>
      <c r="H30" s="781"/>
      <c r="I30" s="781"/>
      <c r="J30" s="781"/>
      <c r="K30" s="781"/>
      <c r="L30" s="781"/>
      <c r="M30" s="786"/>
      <c r="N30" s="786"/>
    </row>
    <row r="31" spans="1:14">
      <c r="A31" s="775" t="s">
        <v>30</v>
      </c>
      <c r="B31" s="776"/>
      <c r="C31" s="776"/>
      <c r="D31" s="776"/>
      <c r="E31" s="776"/>
      <c r="F31" s="776"/>
      <c r="G31" s="777"/>
      <c r="H31" s="782">
        <f t="shared" ref="H31:L31" si="0">H27-H29</f>
        <v>3376</v>
      </c>
      <c r="I31" s="782">
        <f t="shared" si="0"/>
        <v>2296</v>
      </c>
      <c r="J31" s="782">
        <f t="shared" si="0"/>
        <v>0</v>
      </c>
      <c r="K31" s="782">
        <f t="shared" si="0"/>
        <v>-20</v>
      </c>
      <c r="L31" s="782">
        <f t="shared" si="0"/>
        <v>0</v>
      </c>
      <c r="M31" s="749"/>
      <c r="N31" s="749"/>
    </row>
    <row r="32" spans="6:12">
      <c r="F32" s="736" t="s">
        <v>2180</v>
      </c>
      <c r="H32" s="736">
        <v>93316</v>
      </c>
      <c r="I32" s="736">
        <v>113416</v>
      </c>
      <c r="J32" s="736">
        <v>0</v>
      </c>
      <c r="K32" s="736">
        <v>22020</v>
      </c>
      <c r="L32" s="736">
        <v>3000</v>
      </c>
    </row>
  </sheetData>
  <mergeCells count="5">
    <mergeCell ref="A1:G1"/>
    <mergeCell ref="A27:G27"/>
    <mergeCell ref="A28:G28"/>
    <mergeCell ref="A29:G29"/>
    <mergeCell ref="A31:G31"/>
  </mergeCells>
  <conditionalFormatting sqref="A31:N31">
    <cfRule type="cellIs" dxfId="0" priority="1" operator="lessThan">
      <formula>0</formula>
    </cfRule>
  </conditionalFormatting>
  <pageMargins left="0.699305555555556" right="0.699305555555556"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232"/>
  <sheetViews>
    <sheetView workbookViewId="0">
      <pane xSplit="9" ySplit="2" topLeftCell="AC205" activePane="bottomRight" state="frozen"/>
      <selection/>
      <selection pane="topRight"/>
      <selection pane="bottomLeft"/>
      <selection pane="bottomRight" activeCell="AF221" sqref="AF221"/>
    </sheetView>
  </sheetViews>
  <sheetFormatPr defaultColWidth="9" defaultRowHeight="13.5"/>
  <cols>
    <col min="1" max="2" width="9" style="736"/>
    <col min="3" max="4" width="10.3333333333333" style="736"/>
    <col min="5" max="5" width="17.025" style="736" customWidth="1"/>
    <col min="6" max="6" width="9" style="736"/>
    <col min="7" max="8" width="12.5833333333333" style="736" customWidth="1"/>
    <col min="9" max="10" width="9" style="736"/>
    <col min="11" max="12" width="13.0833333333333" style="736" customWidth="1"/>
    <col min="13" max="13" width="9.225" style="736"/>
    <col min="14" max="15" width="10.1083333333333" style="736" customWidth="1"/>
    <col min="16" max="16" width="12.8" style="736"/>
    <col min="17" max="17" width="9" style="736"/>
    <col min="18" max="25" width="9.225" style="736"/>
    <col min="26" max="38" width="9" style="736"/>
    <col min="39" max="39" width="49.1833333333333" style="736" customWidth="1"/>
    <col min="40" max="16384" width="9" style="736"/>
  </cols>
  <sheetData>
    <row r="1" ht="34" customHeight="1" spans="1:39">
      <c r="A1" s="745" t="s">
        <v>2345</v>
      </c>
      <c r="B1" s="745"/>
      <c r="C1" s="745"/>
      <c r="D1" s="745"/>
      <c r="E1" s="745"/>
      <c r="F1" s="745"/>
      <c r="G1" s="745"/>
      <c r="H1" s="745"/>
      <c r="I1" s="745"/>
      <c r="J1" s="745"/>
      <c r="K1" s="745"/>
      <c r="L1" s="745"/>
      <c r="M1" s="745"/>
      <c r="N1" s="745"/>
      <c r="O1" s="745"/>
      <c r="P1" s="745"/>
      <c r="Q1" s="745"/>
      <c r="R1" s="746"/>
      <c r="S1" s="746"/>
      <c r="T1" s="746"/>
      <c r="U1" s="746"/>
      <c r="V1" s="746"/>
      <c r="W1" s="746"/>
      <c r="X1" s="746"/>
      <c r="Y1" s="746"/>
      <c r="Z1" s="746"/>
      <c r="AA1" s="746"/>
      <c r="AB1" s="746"/>
      <c r="AC1" s="746"/>
      <c r="AD1" s="745"/>
      <c r="AE1" s="745"/>
      <c r="AF1" s="745"/>
      <c r="AG1" s="745"/>
      <c r="AH1" s="745"/>
      <c r="AI1" s="745"/>
      <c r="AJ1" s="745"/>
      <c r="AK1" s="745"/>
      <c r="AL1" s="745"/>
      <c r="AM1" s="745"/>
    </row>
    <row r="2" ht="39" customHeight="1" spans="1:39">
      <c r="A2" s="740" t="s">
        <v>2307</v>
      </c>
      <c r="B2" s="740" t="s">
        <v>2308</v>
      </c>
      <c r="C2" s="740" t="s">
        <v>2309</v>
      </c>
      <c r="D2" s="740" t="s">
        <v>2346</v>
      </c>
      <c r="E2" s="740" t="s">
        <v>2310</v>
      </c>
      <c r="F2" s="740" t="s">
        <v>2311</v>
      </c>
      <c r="G2" s="740" t="s">
        <v>2312</v>
      </c>
      <c r="H2" s="740" t="s">
        <v>2347</v>
      </c>
      <c r="I2" s="740" t="s">
        <v>2348</v>
      </c>
      <c r="J2" s="747" t="s">
        <v>2349</v>
      </c>
      <c r="K2" s="747" t="s">
        <v>2350</v>
      </c>
      <c r="L2" s="748" t="s">
        <v>2351</v>
      </c>
      <c r="M2" s="748" t="s">
        <v>105</v>
      </c>
      <c r="N2" s="747" t="s">
        <v>2352</v>
      </c>
      <c r="O2" s="748" t="s">
        <v>2353</v>
      </c>
      <c r="P2" s="747" t="s">
        <v>2354</v>
      </c>
      <c r="Q2" s="748" t="s">
        <v>2355</v>
      </c>
      <c r="R2" s="747" t="s">
        <v>2356</v>
      </c>
      <c r="S2" s="747" t="s">
        <v>2357</v>
      </c>
      <c r="T2" s="748" t="s">
        <v>2358</v>
      </c>
      <c r="U2" s="750" t="s">
        <v>2359</v>
      </c>
      <c r="V2" s="751" t="s">
        <v>2360</v>
      </c>
      <c r="W2" s="748" t="s">
        <v>2361</v>
      </c>
      <c r="X2" s="751" t="s">
        <v>2362</v>
      </c>
      <c r="Y2" s="748" t="s">
        <v>2363</v>
      </c>
      <c r="Z2" s="747" t="s">
        <v>121</v>
      </c>
      <c r="AA2" s="752" t="s">
        <v>122</v>
      </c>
      <c r="AB2" s="747" t="s">
        <v>2364</v>
      </c>
      <c r="AC2" s="748" t="s">
        <v>2365</v>
      </c>
      <c r="AD2" s="753" t="s">
        <v>2366</v>
      </c>
      <c r="AE2" s="753" t="s">
        <v>2366</v>
      </c>
      <c r="AF2" s="754" t="s">
        <v>1128</v>
      </c>
      <c r="AG2" s="754" t="s">
        <v>2367</v>
      </c>
      <c r="AH2" s="754" t="s">
        <v>1131</v>
      </c>
      <c r="AI2" s="787" t="s">
        <v>1132</v>
      </c>
      <c r="AJ2" s="787" t="s">
        <v>2368</v>
      </c>
      <c r="AK2" s="787" t="s">
        <v>1134</v>
      </c>
      <c r="AL2" s="787" t="s">
        <v>2369</v>
      </c>
      <c r="AM2" s="755" t="s">
        <v>20</v>
      </c>
    </row>
    <row r="3" s="737" customFormat="1" ht="16" customHeight="1" spans="1:39">
      <c r="A3" s="741">
        <v>45148</v>
      </c>
      <c r="B3" s="742" t="s">
        <v>2370</v>
      </c>
      <c r="C3" s="744">
        <v>1000015924</v>
      </c>
      <c r="D3" s="762" t="s">
        <v>2371</v>
      </c>
      <c r="E3" s="743" t="s">
        <v>2372</v>
      </c>
      <c r="F3" s="743">
        <v>1761</v>
      </c>
      <c r="G3" s="744" t="s">
        <v>2373</v>
      </c>
      <c r="H3" s="744"/>
      <c r="I3" s="743" t="s">
        <v>140</v>
      </c>
      <c r="J3" s="749"/>
      <c r="K3" s="749"/>
      <c r="L3" s="749"/>
      <c r="M3" s="749"/>
      <c r="N3" s="749"/>
      <c r="O3" s="749"/>
      <c r="P3" s="749"/>
      <c r="Q3" s="749"/>
      <c r="R3" s="749"/>
      <c r="S3" s="749"/>
      <c r="T3" s="749"/>
      <c r="U3" s="749"/>
      <c r="V3" s="749"/>
      <c r="W3" s="749"/>
      <c r="X3" s="749"/>
      <c r="Y3" s="749"/>
      <c r="Z3" s="749">
        <v>1761</v>
      </c>
      <c r="AA3" s="749"/>
      <c r="AB3" s="749"/>
      <c r="AC3" s="749"/>
      <c r="AD3" s="749"/>
      <c r="AE3" s="749"/>
      <c r="AF3" s="749"/>
      <c r="AG3" s="749"/>
      <c r="AH3" s="749"/>
      <c r="AI3" s="749"/>
      <c r="AJ3" s="749"/>
      <c r="AK3" s="749"/>
      <c r="AL3" s="749"/>
      <c r="AM3" s="1304" t="s">
        <v>2374</v>
      </c>
    </row>
    <row r="4" s="737" customFormat="1" ht="15" customHeight="1" spans="1:39">
      <c r="A4" s="741">
        <v>45148</v>
      </c>
      <c r="B4" s="742" t="s">
        <v>2370</v>
      </c>
      <c r="C4" s="743">
        <v>1000015925</v>
      </c>
      <c r="D4" s="762" t="s">
        <v>2371</v>
      </c>
      <c r="E4" s="743">
        <v>77485</v>
      </c>
      <c r="F4" s="743">
        <v>105660</v>
      </c>
      <c r="G4" s="744" t="s">
        <v>2375</v>
      </c>
      <c r="H4" s="744"/>
      <c r="I4" s="743" t="s">
        <v>140</v>
      </c>
      <c r="J4" s="749"/>
      <c r="K4" s="749"/>
      <c r="L4" s="749"/>
      <c r="M4" s="749"/>
      <c r="N4" s="749"/>
      <c r="O4" s="749"/>
      <c r="P4" s="749"/>
      <c r="Q4" s="749"/>
      <c r="R4" s="749"/>
      <c r="S4" s="749"/>
      <c r="T4" s="749"/>
      <c r="U4" s="749"/>
      <c r="V4" s="749"/>
      <c r="W4" s="749"/>
      <c r="X4" s="749"/>
      <c r="Y4" s="749"/>
      <c r="Z4" s="749"/>
      <c r="AA4" s="749"/>
      <c r="AB4" s="749"/>
      <c r="AC4" s="749"/>
      <c r="AD4" s="749">
        <v>105660</v>
      </c>
      <c r="AE4" s="749"/>
      <c r="AF4" s="749"/>
      <c r="AG4" s="749"/>
      <c r="AH4" s="749"/>
      <c r="AI4" s="749"/>
      <c r="AJ4" s="749"/>
      <c r="AK4" s="749"/>
      <c r="AL4" s="749"/>
      <c r="AM4" s="1304" t="s">
        <v>2376</v>
      </c>
    </row>
    <row r="5" s="737" customFormat="1" ht="16" customHeight="1" spans="1:39">
      <c r="A5" s="741">
        <v>45148</v>
      </c>
      <c r="B5" s="742" t="s">
        <v>2370</v>
      </c>
      <c r="C5" s="744">
        <v>1000015926</v>
      </c>
      <c r="D5" s="762" t="s">
        <v>2371</v>
      </c>
      <c r="E5" s="743">
        <v>77485</v>
      </c>
      <c r="F5" s="743">
        <v>105660</v>
      </c>
      <c r="G5" s="744" t="s">
        <v>2377</v>
      </c>
      <c r="H5" s="744"/>
      <c r="I5" s="743" t="s">
        <v>140</v>
      </c>
      <c r="J5" s="749"/>
      <c r="K5" s="749"/>
      <c r="L5" s="749"/>
      <c r="M5" s="749"/>
      <c r="N5" s="749"/>
      <c r="O5" s="749"/>
      <c r="P5" s="749"/>
      <c r="Q5" s="749"/>
      <c r="R5" s="749"/>
      <c r="S5" s="749"/>
      <c r="T5" s="749"/>
      <c r="U5" s="749"/>
      <c r="V5" s="749"/>
      <c r="W5" s="749"/>
      <c r="X5" s="749"/>
      <c r="Y5" s="749"/>
      <c r="Z5" s="749"/>
      <c r="AA5" s="749"/>
      <c r="AB5" s="749"/>
      <c r="AC5" s="749"/>
      <c r="AD5" s="749"/>
      <c r="AE5" s="749">
        <v>105660</v>
      </c>
      <c r="AF5" s="749"/>
      <c r="AG5" s="749"/>
      <c r="AH5" s="749"/>
      <c r="AI5" s="749"/>
      <c r="AJ5" s="749"/>
      <c r="AK5" s="749"/>
      <c r="AL5" s="749"/>
      <c r="AM5" s="1304" t="s">
        <v>2376</v>
      </c>
    </row>
    <row r="6" s="737" customFormat="1" ht="16" customHeight="1" spans="1:39">
      <c r="A6" s="741">
        <v>45168</v>
      </c>
      <c r="B6" s="742" t="s">
        <v>2370</v>
      </c>
      <c r="C6" s="744" t="s">
        <v>2378</v>
      </c>
      <c r="D6" s="762" t="s">
        <v>2379</v>
      </c>
      <c r="E6" s="744">
        <v>77485</v>
      </c>
      <c r="F6" s="744">
        <v>220000</v>
      </c>
      <c r="G6" s="744" t="s">
        <v>2380</v>
      </c>
      <c r="H6" s="744"/>
      <c r="I6" s="743" t="s">
        <v>2381</v>
      </c>
      <c r="J6" s="749">
        <v>220000</v>
      </c>
      <c r="K6" s="749"/>
      <c r="L6" s="749"/>
      <c r="M6" s="749"/>
      <c r="N6" s="749"/>
      <c r="O6" s="749"/>
      <c r="P6" s="749"/>
      <c r="Q6" s="749"/>
      <c r="R6" s="749"/>
      <c r="S6" s="749"/>
      <c r="T6" s="749"/>
      <c r="U6" s="749"/>
      <c r="V6" s="749"/>
      <c r="W6" s="749"/>
      <c r="X6" s="749"/>
      <c r="Y6" s="749"/>
      <c r="Z6" s="749"/>
      <c r="AA6" s="749"/>
      <c r="AB6" s="749"/>
      <c r="AC6" s="749"/>
      <c r="AD6" s="749"/>
      <c r="AE6" s="749"/>
      <c r="AF6" s="749"/>
      <c r="AG6" s="749"/>
      <c r="AH6" s="749"/>
      <c r="AI6" s="749"/>
      <c r="AJ6" s="749"/>
      <c r="AK6" s="749"/>
      <c r="AL6" s="749"/>
      <c r="AM6" s="756"/>
    </row>
    <row r="7" s="737" customFormat="1" ht="15" customHeight="1" spans="1:39">
      <c r="A7" s="741">
        <v>45168</v>
      </c>
      <c r="B7" s="742" t="s">
        <v>2370</v>
      </c>
      <c r="C7" s="743" t="s">
        <v>2382</v>
      </c>
      <c r="D7" s="762" t="s">
        <v>2379</v>
      </c>
      <c r="E7" s="743">
        <v>77485</v>
      </c>
      <c r="F7" s="743">
        <v>220000</v>
      </c>
      <c r="G7" s="744" t="s">
        <v>2383</v>
      </c>
      <c r="H7" s="744"/>
      <c r="I7" s="743" t="s">
        <v>2384</v>
      </c>
      <c r="J7" s="749"/>
      <c r="K7" s="749"/>
      <c r="L7" s="749"/>
      <c r="M7" s="749"/>
      <c r="N7" s="749">
        <v>220000</v>
      </c>
      <c r="O7" s="749"/>
      <c r="P7" s="749"/>
      <c r="Q7" s="749"/>
      <c r="R7" s="749"/>
      <c r="S7" s="749"/>
      <c r="T7" s="749"/>
      <c r="U7" s="749"/>
      <c r="V7" s="749"/>
      <c r="W7" s="749"/>
      <c r="X7" s="749"/>
      <c r="Y7" s="749"/>
      <c r="Z7" s="749"/>
      <c r="AA7" s="749"/>
      <c r="AB7" s="749"/>
      <c r="AC7" s="749"/>
      <c r="AD7" s="749"/>
      <c r="AE7" s="749"/>
      <c r="AF7" s="749"/>
      <c r="AG7" s="749"/>
      <c r="AH7" s="749"/>
      <c r="AI7" s="749"/>
      <c r="AJ7" s="749"/>
      <c r="AK7" s="749"/>
      <c r="AL7" s="749"/>
      <c r="AM7" s="756"/>
    </row>
    <row r="8" s="737" customFormat="1" ht="15" customHeight="1" spans="1:39">
      <c r="A8" s="741">
        <v>45168</v>
      </c>
      <c r="B8" s="742" t="s">
        <v>2370</v>
      </c>
      <c r="C8" s="743" t="s">
        <v>2385</v>
      </c>
      <c r="D8" s="762" t="s">
        <v>2379</v>
      </c>
      <c r="E8" s="743" t="s">
        <v>2386</v>
      </c>
      <c r="F8" s="743">
        <v>4000</v>
      </c>
      <c r="G8" s="744" t="s">
        <v>2387</v>
      </c>
      <c r="H8" s="744"/>
      <c r="I8" s="743" t="s">
        <v>2381</v>
      </c>
      <c r="J8" s="749"/>
      <c r="K8" s="749"/>
      <c r="L8" s="749"/>
      <c r="M8" s="749"/>
      <c r="N8" s="749"/>
      <c r="O8" s="749"/>
      <c r="P8" s="749">
        <v>4000</v>
      </c>
      <c r="Q8" s="749"/>
      <c r="R8" s="749"/>
      <c r="S8" s="749"/>
      <c r="T8" s="749"/>
      <c r="U8" s="749"/>
      <c r="V8" s="749"/>
      <c r="W8" s="749"/>
      <c r="X8" s="749"/>
      <c r="Y8" s="749"/>
      <c r="Z8" s="749"/>
      <c r="AA8" s="749"/>
      <c r="AB8" s="749"/>
      <c r="AC8" s="749"/>
      <c r="AD8" s="749"/>
      <c r="AE8" s="749"/>
      <c r="AF8" s="749"/>
      <c r="AG8" s="749"/>
      <c r="AH8" s="749"/>
      <c r="AI8" s="749"/>
      <c r="AJ8" s="749"/>
      <c r="AK8" s="749"/>
      <c r="AL8" s="749"/>
      <c r="AM8" s="756"/>
    </row>
    <row r="9" s="737" customFormat="1" ht="15" customHeight="1" spans="1:39">
      <c r="A9" s="741">
        <v>45168</v>
      </c>
      <c r="B9" s="742" t="s">
        <v>2370</v>
      </c>
      <c r="C9" s="743" t="s">
        <v>2388</v>
      </c>
      <c r="D9" s="762" t="s">
        <v>2379</v>
      </c>
      <c r="E9" s="743" t="s">
        <v>2389</v>
      </c>
      <c r="F9" s="743">
        <v>1000</v>
      </c>
      <c r="G9" s="744" t="s">
        <v>2387</v>
      </c>
      <c r="H9" s="744"/>
      <c r="I9" s="743" t="s">
        <v>2381</v>
      </c>
      <c r="J9" s="749"/>
      <c r="K9" s="749"/>
      <c r="L9" s="749"/>
      <c r="M9" s="749"/>
      <c r="N9" s="749"/>
      <c r="O9" s="749"/>
      <c r="P9" s="749"/>
      <c r="Q9" s="749"/>
      <c r="R9" s="749">
        <v>1000</v>
      </c>
      <c r="S9" s="749"/>
      <c r="T9" s="749"/>
      <c r="U9" s="749"/>
      <c r="V9" s="749"/>
      <c r="W9" s="749"/>
      <c r="X9" s="749"/>
      <c r="Y9" s="749"/>
      <c r="Z9" s="749"/>
      <c r="AA9" s="749"/>
      <c r="AB9" s="749"/>
      <c r="AC9" s="749"/>
      <c r="AD9" s="749"/>
      <c r="AE9" s="749"/>
      <c r="AF9" s="749"/>
      <c r="AG9" s="749"/>
      <c r="AH9" s="749"/>
      <c r="AI9" s="749"/>
      <c r="AJ9" s="749"/>
      <c r="AK9" s="749"/>
      <c r="AL9" s="749"/>
      <c r="AM9" s="756"/>
    </row>
    <row r="10" s="737" customFormat="1" ht="15" customHeight="1" spans="1:39">
      <c r="A10" s="741">
        <v>45180</v>
      </c>
      <c r="B10" s="742" t="s">
        <v>2390</v>
      </c>
      <c r="C10" s="743" t="s">
        <v>2391</v>
      </c>
      <c r="D10" s="743" t="s">
        <v>2379</v>
      </c>
      <c r="E10" s="743">
        <v>77485</v>
      </c>
      <c r="F10" s="743">
        <v>100000</v>
      </c>
      <c r="G10" s="744" t="s">
        <v>2380</v>
      </c>
      <c r="H10" s="744"/>
      <c r="I10" s="743" t="s">
        <v>2381</v>
      </c>
      <c r="J10" s="749">
        <v>100000</v>
      </c>
      <c r="K10" s="749"/>
      <c r="L10" s="749"/>
      <c r="M10" s="749"/>
      <c r="N10" s="749"/>
      <c r="O10" s="749"/>
      <c r="P10" s="749"/>
      <c r="Q10" s="749"/>
      <c r="R10" s="749"/>
      <c r="S10" s="749"/>
      <c r="T10" s="749"/>
      <c r="U10" s="749"/>
      <c r="V10" s="749"/>
      <c r="W10" s="749"/>
      <c r="X10" s="749"/>
      <c r="Y10" s="749"/>
      <c r="Z10" s="749"/>
      <c r="AA10" s="749"/>
      <c r="AB10" s="749"/>
      <c r="AC10" s="749"/>
      <c r="AD10" s="749"/>
      <c r="AE10" s="749"/>
      <c r="AF10" s="749"/>
      <c r="AG10" s="749"/>
      <c r="AH10" s="749"/>
      <c r="AI10" s="749"/>
      <c r="AJ10" s="749"/>
      <c r="AK10" s="749"/>
      <c r="AL10" s="749"/>
      <c r="AM10" s="756"/>
    </row>
    <row r="11" s="737" customFormat="1" ht="15" customHeight="1" spans="1:39">
      <c r="A11" s="741">
        <v>45180</v>
      </c>
      <c r="B11" s="742" t="s">
        <v>2390</v>
      </c>
      <c r="C11" s="743" t="s">
        <v>2392</v>
      </c>
      <c r="D11" s="743" t="s">
        <v>2379</v>
      </c>
      <c r="E11" s="743">
        <v>77485</v>
      </c>
      <c r="F11" s="743">
        <v>22000</v>
      </c>
      <c r="G11" s="744" t="s">
        <v>2380</v>
      </c>
      <c r="H11" s="744"/>
      <c r="I11" s="743" t="s">
        <v>2393</v>
      </c>
      <c r="J11" s="749"/>
      <c r="K11" s="749"/>
      <c r="L11" s="749"/>
      <c r="M11" s="749">
        <v>22000</v>
      </c>
      <c r="N11" s="749"/>
      <c r="O11" s="749"/>
      <c r="P11" s="749"/>
      <c r="Q11" s="749"/>
      <c r="R11" s="749"/>
      <c r="S11" s="749"/>
      <c r="T11" s="749"/>
      <c r="U11" s="749"/>
      <c r="V11" s="749"/>
      <c r="W11" s="749"/>
      <c r="X11" s="749"/>
      <c r="Y11" s="749"/>
      <c r="Z11" s="749"/>
      <c r="AA11" s="749"/>
      <c r="AB11" s="749"/>
      <c r="AC11" s="749"/>
      <c r="AD11" s="749"/>
      <c r="AE11" s="749"/>
      <c r="AF11" s="749"/>
      <c r="AG11" s="749"/>
      <c r="AH11" s="749"/>
      <c r="AI11" s="749"/>
      <c r="AJ11" s="749"/>
      <c r="AK11" s="749"/>
      <c r="AL11" s="749"/>
      <c r="AM11" s="756"/>
    </row>
    <row r="12" s="737" customFormat="1" ht="15" customHeight="1" spans="1:39">
      <c r="A12" s="741">
        <v>45180</v>
      </c>
      <c r="B12" s="742" t="s">
        <v>2390</v>
      </c>
      <c r="C12" s="743" t="s">
        <v>2394</v>
      </c>
      <c r="D12" s="743" t="s">
        <v>2379</v>
      </c>
      <c r="E12" s="743">
        <v>77485</v>
      </c>
      <c r="F12" s="743">
        <v>100000</v>
      </c>
      <c r="G12" s="744" t="s">
        <v>2383</v>
      </c>
      <c r="H12" s="744"/>
      <c r="I12" s="743" t="s">
        <v>2384</v>
      </c>
      <c r="J12" s="749"/>
      <c r="K12" s="749"/>
      <c r="L12" s="749"/>
      <c r="M12" s="749"/>
      <c r="N12" s="749">
        <v>100000</v>
      </c>
      <c r="O12" s="749"/>
      <c r="P12" s="749"/>
      <c r="Q12" s="749"/>
      <c r="R12" s="749"/>
      <c r="S12" s="749"/>
      <c r="T12" s="749"/>
      <c r="U12" s="749"/>
      <c r="V12" s="749"/>
      <c r="W12" s="749"/>
      <c r="X12" s="749"/>
      <c r="Y12" s="749"/>
      <c r="Z12" s="749"/>
      <c r="AA12" s="749"/>
      <c r="AB12" s="749"/>
      <c r="AC12" s="749"/>
      <c r="AD12" s="749"/>
      <c r="AE12" s="749"/>
      <c r="AF12" s="749"/>
      <c r="AG12" s="749"/>
      <c r="AH12" s="749"/>
      <c r="AI12" s="749"/>
      <c r="AJ12" s="749"/>
      <c r="AK12" s="749"/>
      <c r="AL12" s="749"/>
      <c r="AM12" s="756"/>
    </row>
    <row r="13" s="737" customFormat="1" ht="15" customHeight="1" spans="1:39">
      <c r="A13" s="741">
        <v>45180</v>
      </c>
      <c r="B13" s="742" t="s">
        <v>2390</v>
      </c>
      <c r="C13" s="743" t="s">
        <v>2395</v>
      </c>
      <c r="D13" s="743" t="s">
        <v>2379</v>
      </c>
      <c r="E13" s="743" t="s">
        <v>2386</v>
      </c>
      <c r="F13" s="743">
        <v>10000</v>
      </c>
      <c r="G13" s="744" t="s">
        <v>2387</v>
      </c>
      <c r="H13" s="744"/>
      <c r="I13" s="743" t="s">
        <v>2381</v>
      </c>
      <c r="J13" s="749"/>
      <c r="K13" s="749"/>
      <c r="L13" s="749"/>
      <c r="M13" s="749"/>
      <c r="N13" s="749"/>
      <c r="O13" s="749"/>
      <c r="P13" s="749">
        <v>10000</v>
      </c>
      <c r="Q13" s="749"/>
      <c r="R13" s="749"/>
      <c r="S13" s="749"/>
      <c r="T13" s="749"/>
      <c r="U13" s="749"/>
      <c r="V13" s="749"/>
      <c r="W13" s="749"/>
      <c r="X13" s="749"/>
      <c r="Y13" s="749"/>
      <c r="Z13" s="749"/>
      <c r="AA13" s="749"/>
      <c r="AB13" s="749"/>
      <c r="AC13" s="749"/>
      <c r="AD13" s="749"/>
      <c r="AE13" s="749"/>
      <c r="AF13" s="749"/>
      <c r="AG13" s="749"/>
      <c r="AH13" s="749"/>
      <c r="AI13" s="749"/>
      <c r="AJ13" s="749"/>
      <c r="AK13" s="749"/>
      <c r="AL13" s="749"/>
      <c r="AM13" s="756"/>
    </row>
    <row r="14" s="737" customFormat="1" ht="15" customHeight="1" spans="1:39">
      <c r="A14" s="741">
        <v>45180</v>
      </c>
      <c r="B14" s="742" t="s">
        <v>2390</v>
      </c>
      <c r="C14" s="743" t="s">
        <v>2396</v>
      </c>
      <c r="D14" s="743" t="s">
        <v>2379</v>
      </c>
      <c r="E14" s="743" t="s">
        <v>2389</v>
      </c>
      <c r="F14" s="743">
        <v>4000</v>
      </c>
      <c r="G14" s="744" t="s">
        <v>2387</v>
      </c>
      <c r="H14" s="744"/>
      <c r="I14" s="743" t="s">
        <v>2381</v>
      </c>
      <c r="J14" s="749"/>
      <c r="K14" s="749"/>
      <c r="L14" s="749"/>
      <c r="M14" s="749"/>
      <c r="N14" s="749"/>
      <c r="O14" s="749"/>
      <c r="P14" s="749"/>
      <c r="Q14" s="749"/>
      <c r="R14" s="749">
        <v>4000</v>
      </c>
      <c r="S14" s="749"/>
      <c r="T14" s="749"/>
      <c r="U14" s="749"/>
      <c r="V14" s="749"/>
      <c r="W14" s="749"/>
      <c r="X14" s="749"/>
      <c r="Y14" s="749"/>
      <c r="Z14" s="749"/>
      <c r="AA14" s="749"/>
      <c r="AB14" s="749"/>
      <c r="AC14" s="749"/>
      <c r="AD14" s="749"/>
      <c r="AE14" s="749"/>
      <c r="AF14" s="749"/>
      <c r="AG14" s="749"/>
      <c r="AH14" s="749"/>
      <c r="AI14" s="749"/>
      <c r="AJ14" s="749"/>
      <c r="AK14" s="749"/>
      <c r="AL14" s="749"/>
      <c r="AM14" s="756"/>
    </row>
    <row r="15" s="737" customFormat="1" ht="18" customHeight="1" spans="1:39">
      <c r="A15" s="741">
        <v>45180</v>
      </c>
      <c r="B15" s="742" t="s">
        <v>2390</v>
      </c>
      <c r="C15" s="743">
        <v>1000016329</v>
      </c>
      <c r="D15" s="743" t="s">
        <v>2371</v>
      </c>
      <c r="E15" s="743">
        <v>77485</v>
      </c>
      <c r="F15" s="743">
        <v>25200</v>
      </c>
      <c r="G15" s="744" t="s">
        <v>2397</v>
      </c>
      <c r="H15" s="744"/>
      <c r="I15" s="743" t="s">
        <v>140</v>
      </c>
      <c r="J15" s="749"/>
      <c r="K15" s="749">
        <v>25200</v>
      </c>
      <c r="L15" s="749"/>
      <c r="M15" s="749"/>
      <c r="N15" s="749"/>
      <c r="O15" s="749"/>
      <c r="P15" s="749"/>
      <c r="Q15" s="749"/>
      <c r="R15" s="749"/>
      <c r="S15" s="749"/>
      <c r="T15" s="749"/>
      <c r="U15" s="749"/>
      <c r="V15" s="749"/>
      <c r="W15" s="749"/>
      <c r="X15" s="749"/>
      <c r="Y15" s="749"/>
      <c r="Z15" s="749"/>
      <c r="AA15" s="749"/>
      <c r="AB15" s="749"/>
      <c r="AC15" s="749"/>
      <c r="AD15" s="749"/>
      <c r="AE15" s="749"/>
      <c r="AF15" s="749"/>
      <c r="AG15" s="749"/>
      <c r="AH15" s="749"/>
      <c r="AI15" s="749"/>
      <c r="AJ15" s="749"/>
      <c r="AK15" s="749"/>
      <c r="AL15" s="749"/>
      <c r="AM15" s="756"/>
    </row>
    <row r="16" s="737" customFormat="1" ht="18" customHeight="1" spans="1:39">
      <c r="A16" s="741">
        <v>45183</v>
      </c>
      <c r="B16" s="742" t="s">
        <v>2390</v>
      </c>
      <c r="C16" s="762">
        <v>1000016330</v>
      </c>
      <c r="D16" s="743" t="s">
        <v>2371</v>
      </c>
      <c r="E16" s="743">
        <v>77486</v>
      </c>
      <c r="F16" s="743">
        <v>12600</v>
      </c>
      <c r="G16" s="744" t="s">
        <v>2398</v>
      </c>
      <c r="H16" s="744"/>
      <c r="I16" s="743" t="s">
        <v>140</v>
      </c>
      <c r="J16" s="749"/>
      <c r="K16" s="749"/>
      <c r="L16" s="749"/>
      <c r="M16" s="749"/>
      <c r="N16" s="749"/>
      <c r="O16" s="749"/>
      <c r="P16" s="749"/>
      <c r="Q16" s="749"/>
      <c r="R16" s="749"/>
      <c r="S16" s="749"/>
      <c r="T16" s="749"/>
      <c r="U16" s="749"/>
      <c r="V16" s="749"/>
      <c r="W16" s="749"/>
      <c r="X16" s="749"/>
      <c r="Y16" s="749"/>
      <c r="Z16" s="749"/>
      <c r="AA16" s="749"/>
      <c r="AB16" s="749"/>
      <c r="AC16" s="749"/>
      <c r="AD16" s="749"/>
      <c r="AE16" s="749"/>
      <c r="AF16" s="749">
        <v>12600</v>
      </c>
      <c r="AG16" s="749"/>
      <c r="AH16" s="749"/>
      <c r="AI16" s="749"/>
      <c r="AJ16" s="749"/>
      <c r="AK16" s="749"/>
      <c r="AL16" s="749"/>
      <c r="AM16" s="756"/>
    </row>
    <row r="17" s="737" customFormat="1" ht="18" customHeight="1" spans="1:39">
      <c r="A17" s="741">
        <v>45183</v>
      </c>
      <c r="B17" s="742" t="s">
        <v>2390</v>
      </c>
      <c r="C17" s="762">
        <v>1000016331</v>
      </c>
      <c r="D17" s="743" t="s">
        <v>2371</v>
      </c>
      <c r="E17" s="743">
        <v>77486</v>
      </c>
      <c r="F17" s="743">
        <v>12600</v>
      </c>
      <c r="G17" s="744" t="s">
        <v>2399</v>
      </c>
      <c r="H17" s="744"/>
      <c r="I17" s="743" t="s">
        <v>140</v>
      </c>
      <c r="J17" s="749"/>
      <c r="K17" s="749"/>
      <c r="L17" s="749"/>
      <c r="M17" s="749"/>
      <c r="N17" s="749"/>
      <c r="O17" s="749"/>
      <c r="P17" s="749"/>
      <c r="Q17" s="749"/>
      <c r="R17" s="749"/>
      <c r="S17" s="749"/>
      <c r="T17" s="749"/>
      <c r="U17" s="749"/>
      <c r="V17" s="749"/>
      <c r="W17" s="749"/>
      <c r="X17" s="749"/>
      <c r="Y17" s="749"/>
      <c r="Z17" s="749"/>
      <c r="AA17" s="749"/>
      <c r="AB17" s="749"/>
      <c r="AC17" s="749"/>
      <c r="AD17" s="749"/>
      <c r="AE17" s="749"/>
      <c r="AF17" s="749"/>
      <c r="AG17" s="749">
        <v>12600</v>
      </c>
      <c r="AH17" s="749"/>
      <c r="AI17" s="749"/>
      <c r="AJ17" s="749"/>
      <c r="AK17" s="749"/>
      <c r="AL17" s="749"/>
      <c r="AM17" s="756"/>
    </row>
    <row r="18" s="737" customFormat="1" ht="18" customHeight="1" spans="1:39">
      <c r="A18" s="741">
        <v>45183</v>
      </c>
      <c r="B18" s="742" t="s">
        <v>2390</v>
      </c>
      <c r="C18" s="762">
        <v>1000016332</v>
      </c>
      <c r="D18" s="743" t="s">
        <v>2371</v>
      </c>
      <c r="E18" s="743">
        <v>77486</v>
      </c>
      <c r="F18" s="743">
        <v>12600</v>
      </c>
      <c r="G18" s="744" t="s">
        <v>2400</v>
      </c>
      <c r="H18" s="744"/>
      <c r="I18" s="743" t="s">
        <v>140</v>
      </c>
      <c r="J18" s="749"/>
      <c r="K18" s="749"/>
      <c r="L18" s="749"/>
      <c r="M18" s="749"/>
      <c r="N18" s="749"/>
      <c r="O18" s="749"/>
      <c r="P18" s="749"/>
      <c r="Q18" s="749"/>
      <c r="R18" s="749"/>
      <c r="S18" s="749"/>
      <c r="T18" s="749"/>
      <c r="U18" s="749"/>
      <c r="V18" s="749"/>
      <c r="W18" s="749"/>
      <c r="X18" s="749"/>
      <c r="Y18" s="749"/>
      <c r="Z18" s="749"/>
      <c r="AA18" s="749"/>
      <c r="AB18" s="749"/>
      <c r="AC18" s="749"/>
      <c r="AD18" s="749"/>
      <c r="AE18" s="749"/>
      <c r="AF18" s="749"/>
      <c r="AG18" s="749"/>
      <c r="AH18" s="749">
        <v>12600</v>
      </c>
      <c r="AI18" s="749"/>
      <c r="AJ18" s="749"/>
      <c r="AK18" s="749"/>
      <c r="AL18" s="749"/>
      <c r="AM18" s="756"/>
    </row>
    <row r="19" s="737" customFormat="1" ht="18" customHeight="1" spans="1:39">
      <c r="A19" s="741">
        <v>45216</v>
      </c>
      <c r="B19" s="742" t="s">
        <v>2390</v>
      </c>
      <c r="C19" s="743" t="s">
        <v>2401</v>
      </c>
      <c r="D19" s="743" t="s">
        <v>2379</v>
      </c>
      <c r="E19" s="743">
        <v>77485</v>
      </c>
      <c r="F19" s="743">
        <v>120000</v>
      </c>
      <c r="G19" s="744" t="s">
        <v>2380</v>
      </c>
      <c r="H19" s="744"/>
      <c r="I19" s="743" t="s">
        <v>2381</v>
      </c>
      <c r="J19" s="749">
        <v>120000</v>
      </c>
      <c r="K19" s="749"/>
      <c r="L19" s="749"/>
      <c r="M19" s="749"/>
      <c r="N19" s="749"/>
      <c r="O19" s="749"/>
      <c r="P19" s="749"/>
      <c r="Q19" s="749"/>
      <c r="R19" s="749"/>
      <c r="S19" s="749"/>
      <c r="T19" s="749"/>
      <c r="U19" s="749"/>
      <c r="V19" s="749"/>
      <c r="W19" s="749"/>
      <c r="X19" s="749"/>
      <c r="Y19" s="749"/>
      <c r="Z19" s="749"/>
      <c r="AA19" s="749"/>
      <c r="AB19" s="749"/>
      <c r="AC19" s="749"/>
      <c r="AD19" s="749"/>
      <c r="AE19" s="749"/>
      <c r="AF19" s="749"/>
      <c r="AG19" s="749"/>
      <c r="AH19" s="749"/>
      <c r="AI19" s="749"/>
      <c r="AJ19" s="749"/>
      <c r="AK19" s="749"/>
      <c r="AL19" s="749"/>
      <c r="AM19" s="756"/>
    </row>
    <row r="20" s="737" customFormat="1" ht="18" customHeight="1" spans="1:39">
      <c r="A20" s="741">
        <v>45216</v>
      </c>
      <c r="B20" s="742" t="s">
        <v>2390</v>
      </c>
      <c r="C20" s="743" t="s">
        <v>2402</v>
      </c>
      <c r="D20" s="743" t="s">
        <v>2379</v>
      </c>
      <c r="E20" s="743">
        <v>77485</v>
      </c>
      <c r="F20" s="743">
        <v>60000</v>
      </c>
      <c r="G20" s="744" t="s">
        <v>2380</v>
      </c>
      <c r="H20" s="744" t="s">
        <v>2321</v>
      </c>
      <c r="I20" s="743" t="s">
        <v>2393</v>
      </c>
      <c r="J20" s="749"/>
      <c r="K20" s="749"/>
      <c r="L20" s="749"/>
      <c r="M20" s="749">
        <v>60000</v>
      </c>
      <c r="N20" s="749"/>
      <c r="O20" s="749"/>
      <c r="P20" s="749"/>
      <c r="Q20" s="749"/>
      <c r="R20" s="749"/>
      <c r="S20" s="749"/>
      <c r="T20" s="749"/>
      <c r="U20" s="749"/>
      <c r="V20" s="749"/>
      <c r="W20" s="749"/>
      <c r="X20" s="749"/>
      <c r="Y20" s="749"/>
      <c r="Z20" s="749"/>
      <c r="AA20" s="749"/>
      <c r="AB20" s="749"/>
      <c r="AC20" s="749"/>
      <c r="AD20" s="749"/>
      <c r="AE20" s="749"/>
      <c r="AF20" s="749"/>
      <c r="AG20" s="749"/>
      <c r="AH20" s="749"/>
      <c r="AI20" s="749"/>
      <c r="AJ20" s="749"/>
      <c r="AK20" s="749"/>
      <c r="AL20" s="749"/>
      <c r="AM20" s="756"/>
    </row>
    <row r="21" s="737" customFormat="1" ht="18" customHeight="1" spans="1:39">
      <c r="A21" s="741">
        <v>45216</v>
      </c>
      <c r="B21" s="742" t="s">
        <v>2390</v>
      </c>
      <c r="C21" s="743" t="s">
        <v>2403</v>
      </c>
      <c r="D21" s="743" t="s">
        <v>2379</v>
      </c>
      <c r="E21" s="743">
        <v>77485</v>
      </c>
      <c r="F21" s="743">
        <v>170000</v>
      </c>
      <c r="G21" s="744" t="s">
        <v>2383</v>
      </c>
      <c r="H21" s="744"/>
      <c r="I21" s="743" t="s">
        <v>2404</v>
      </c>
      <c r="J21" s="749"/>
      <c r="K21" s="749"/>
      <c r="L21" s="749"/>
      <c r="M21" s="749"/>
      <c r="N21" s="749">
        <v>170000</v>
      </c>
      <c r="O21" s="749"/>
      <c r="P21" s="749"/>
      <c r="Q21" s="749"/>
      <c r="R21" s="749"/>
      <c r="S21" s="749"/>
      <c r="T21" s="749"/>
      <c r="U21" s="749"/>
      <c r="V21" s="749"/>
      <c r="W21" s="749"/>
      <c r="X21" s="749"/>
      <c r="Y21" s="749"/>
      <c r="Z21" s="749"/>
      <c r="AA21" s="749"/>
      <c r="AB21" s="749"/>
      <c r="AC21" s="749"/>
      <c r="AD21" s="749"/>
      <c r="AE21" s="749"/>
      <c r="AF21" s="749"/>
      <c r="AG21" s="749"/>
      <c r="AH21" s="749"/>
      <c r="AI21" s="749"/>
      <c r="AJ21" s="749"/>
      <c r="AK21" s="749"/>
      <c r="AL21" s="749"/>
      <c r="AM21" s="756"/>
    </row>
    <row r="22" s="737" customFormat="1" ht="18" customHeight="1" spans="1:39">
      <c r="A22" s="741">
        <v>45216</v>
      </c>
      <c r="B22" s="742" t="s">
        <v>2390</v>
      </c>
      <c r="C22" s="743" t="s">
        <v>2405</v>
      </c>
      <c r="D22" s="743" t="s">
        <v>2379</v>
      </c>
      <c r="E22" s="743" t="s">
        <v>2386</v>
      </c>
      <c r="F22" s="743">
        <v>2000</v>
      </c>
      <c r="G22" s="744" t="s">
        <v>2387</v>
      </c>
      <c r="H22" s="744"/>
      <c r="I22" s="743" t="s">
        <v>2381</v>
      </c>
      <c r="J22" s="749"/>
      <c r="K22" s="749"/>
      <c r="L22" s="749"/>
      <c r="M22" s="749"/>
      <c r="N22" s="749"/>
      <c r="O22" s="749"/>
      <c r="P22" s="749">
        <v>2000</v>
      </c>
      <c r="Q22" s="749"/>
      <c r="R22" s="749"/>
      <c r="S22" s="749"/>
      <c r="T22" s="749"/>
      <c r="U22" s="749"/>
      <c r="V22" s="749"/>
      <c r="W22" s="749"/>
      <c r="X22" s="749"/>
      <c r="Y22" s="749"/>
      <c r="Z22" s="749"/>
      <c r="AA22" s="749"/>
      <c r="AB22" s="749"/>
      <c r="AC22" s="749"/>
      <c r="AD22" s="749"/>
      <c r="AE22" s="749"/>
      <c r="AF22" s="749"/>
      <c r="AG22" s="749"/>
      <c r="AH22" s="749"/>
      <c r="AI22" s="749"/>
      <c r="AJ22" s="749"/>
      <c r="AK22" s="749"/>
      <c r="AL22" s="749"/>
      <c r="AM22" s="756"/>
    </row>
    <row r="23" s="737" customFormat="1" ht="18" customHeight="1" spans="1:39">
      <c r="A23" s="741">
        <v>45216</v>
      </c>
      <c r="B23" s="742" t="s">
        <v>2390</v>
      </c>
      <c r="C23" s="743" t="s">
        <v>2406</v>
      </c>
      <c r="D23" s="743" t="s">
        <v>2379</v>
      </c>
      <c r="E23" s="743" t="s">
        <v>2386</v>
      </c>
      <c r="F23" s="743">
        <v>3000</v>
      </c>
      <c r="G23" s="744" t="s">
        <v>2387</v>
      </c>
      <c r="H23" s="744"/>
      <c r="I23" s="743" t="s">
        <v>2393</v>
      </c>
      <c r="J23" s="749"/>
      <c r="K23" s="749"/>
      <c r="L23" s="749"/>
      <c r="M23" s="749"/>
      <c r="N23" s="749"/>
      <c r="O23" s="749"/>
      <c r="P23" s="749"/>
      <c r="Q23" s="749">
        <v>3000</v>
      </c>
      <c r="R23" s="749"/>
      <c r="S23" s="749"/>
      <c r="T23" s="749"/>
      <c r="U23" s="749"/>
      <c r="V23" s="749"/>
      <c r="W23" s="749"/>
      <c r="X23" s="749"/>
      <c r="Y23" s="749"/>
      <c r="Z23" s="749"/>
      <c r="AA23" s="749"/>
      <c r="AB23" s="749"/>
      <c r="AC23" s="749"/>
      <c r="AD23" s="749"/>
      <c r="AE23" s="749"/>
      <c r="AF23" s="749"/>
      <c r="AG23" s="749"/>
      <c r="AH23" s="749"/>
      <c r="AI23" s="749"/>
      <c r="AJ23" s="749"/>
      <c r="AK23" s="749"/>
      <c r="AL23" s="749"/>
      <c r="AM23" s="756"/>
    </row>
    <row r="24" s="737" customFormat="1" ht="18" customHeight="1" spans="1:39">
      <c r="A24" s="741">
        <v>45216</v>
      </c>
      <c r="B24" s="742" t="s">
        <v>2390</v>
      </c>
      <c r="C24" s="743" t="s">
        <v>2407</v>
      </c>
      <c r="D24" s="743" t="s">
        <v>2379</v>
      </c>
      <c r="E24" s="743" t="s">
        <v>2389</v>
      </c>
      <c r="F24" s="743">
        <v>800</v>
      </c>
      <c r="G24" s="744" t="s">
        <v>2387</v>
      </c>
      <c r="H24" s="744"/>
      <c r="I24" s="743" t="s">
        <v>2381</v>
      </c>
      <c r="J24" s="749"/>
      <c r="K24" s="749"/>
      <c r="L24" s="749"/>
      <c r="M24" s="749"/>
      <c r="N24" s="749"/>
      <c r="O24" s="749"/>
      <c r="P24" s="749"/>
      <c r="Q24" s="749"/>
      <c r="R24" s="749">
        <v>800</v>
      </c>
      <c r="S24" s="749"/>
      <c r="T24" s="749"/>
      <c r="U24" s="749"/>
      <c r="V24" s="749"/>
      <c r="W24" s="749"/>
      <c r="X24" s="749"/>
      <c r="Y24" s="749"/>
      <c r="Z24" s="749"/>
      <c r="AA24" s="749"/>
      <c r="AB24" s="749"/>
      <c r="AC24" s="749"/>
      <c r="AD24" s="749"/>
      <c r="AE24" s="749"/>
      <c r="AF24" s="749"/>
      <c r="AG24" s="749"/>
      <c r="AH24" s="749"/>
      <c r="AI24" s="749"/>
      <c r="AJ24" s="749"/>
      <c r="AK24" s="749"/>
      <c r="AL24" s="749"/>
      <c r="AM24" s="756"/>
    </row>
    <row r="25" s="737" customFormat="1" ht="18" customHeight="1" spans="1:39">
      <c r="A25" s="741">
        <v>45216</v>
      </c>
      <c r="B25" s="742" t="s">
        <v>2390</v>
      </c>
      <c r="C25" s="743" t="s">
        <v>2408</v>
      </c>
      <c r="D25" s="743" t="s">
        <v>2379</v>
      </c>
      <c r="E25" s="743" t="s">
        <v>2389</v>
      </c>
      <c r="F25" s="743">
        <v>700</v>
      </c>
      <c r="G25" s="744" t="s">
        <v>2387</v>
      </c>
      <c r="H25" s="744"/>
      <c r="I25" s="743" t="s">
        <v>2393</v>
      </c>
      <c r="J25" s="749"/>
      <c r="K25" s="749"/>
      <c r="L25" s="749"/>
      <c r="M25" s="749"/>
      <c r="N25" s="749"/>
      <c r="O25" s="749"/>
      <c r="P25" s="749"/>
      <c r="Q25" s="749"/>
      <c r="R25" s="749"/>
      <c r="S25" s="749"/>
      <c r="T25" s="749">
        <v>700</v>
      </c>
      <c r="U25" s="749"/>
      <c r="V25" s="749"/>
      <c r="W25" s="749"/>
      <c r="X25" s="749"/>
      <c r="Y25" s="749"/>
      <c r="Z25" s="749"/>
      <c r="AA25" s="749"/>
      <c r="AB25" s="749"/>
      <c r="AC25" s="749"/>
      <c r="AD25" s="749"/>
      <c r="AE25" s="749"/>
      <c r="AF25" s="749"/>
      <c r="AG25" s="749"/>
      <c r="AH25" s="749"/>
      <c r="AI25" s="749"/>
      <c r="AJ25" s="749"/>
      <c r="AK25" s="749"/>
      <c r="AL25" s="749"/>
      <c r="AM25" s="756"/>
    </row>
    <row r="26" s="737" customFormat="1" ht="18" customHeight="1" spans="1:39">
      <c r="A26" s="741">
        <v>45244</v>
      </c>
      <c r="B26" s="742" t="s">
        <v>2390</v>
      </c>
      <c r="C26" s="743" t="s">
        <v>2409</v>
      </c>
      <c r="D26" s="743" t="s">
        <v>2379</v>
      </c>
      <c r="E26" s="743" t="s">
        <v>2372</v>
      </c>
      <c r="F26" s="743">
        <v>300</v>
      </c>
      <c r="G26" s="744" t="s">
        <v>2373</v>
      </c>
      <c r="H26" s="744"/>
      <c r="I26" s="743" t="s">
        <v>2393</v>
      </c>
      <c r="J26" s="749"/>
      <c r="K26" s="749"/>
      <c r="L26" s="749"/>
      <c r="M26" s="749"/>
      <c r="N26" s="749"/>
      <c r="O26" s="749"/>
      <c r="P26" s="749"/>
      <c r="Q26" s="749"/>
      <c r="R26" s="749"/>
      <c r="S26" s="749"/>
      <c r="T26" s="749"/>
      <c r="U26" s="749"/>
      <c r="V26" s="749"/>
      <c r="W26" s="749"/>
      <c r="X26" s="749"/>
      <c r="Y26" s="749"/>
      <c r="Z26" s="749"/>
      <c r="AA26" s="749"/>
      <c r="AB26" s="749">
        <v>300</v>
      </c>
      <c r="AC26" s="749"/>
      <c r="AD26" s="749"/>
      <c r="AE26" s="749"/>
      <c r="AF26" s="749"/>
      <c r="AG26" s="749"/>
      <c r="AH26" s="749"/>
      <c r="AI26" s="749"/>
      <c r="AJ26" s="749"/>
      <c r="AK26" s="749"/>
      <c r="AL26" s="749"/>
      <c r="AM26" s="756"/>
    </row>
    <row r="27" s="737" customFormat="1" ht="18" customHeight="1" spans="1:39">
      <c r="A27" s="741">
        <v>45244</v>
      </c>
      <c r="B27" s="742" t="s">
        <v>2390</v>
      </c>
      <c r="C27" s="743" t="s">
        <v>2410</v>
      </c>
      <c r="D27" s="743" t="s">
        <v>2379</v>
      </c>
      <c r="E27" s="743" t="s">
        <v>2411</v>
      </c>
      <c r="F27" s="743">
        <v>300</v>
      </c>
      <c r="G27" s="744" t="s">
        <v>2373</v>
      </c>
      <c r="H27" s="744"/>
      <c r="I27" s="743" t="s">
        <v>2393</v>
      </c>
      <c r="J27" s="749"/>
      <c r="K27" s="749"/>
      <c r="L27" s="749"/>
      <c r="M27" s="749"/>
      <c r="N27" s="749"/>
      <c r="O27" s="749"/>
      <c r="P27" s="749"/>
      <c r="Q27" s="749"/>
      <c r="R27" s="749"/>
      <c r="S27" s="749"/>
      <c r="T27" s="749"/>
      <c r="U27" s="749"/>
      <c r="V27" s="749"/>
      <c r="W27" s="749"/>
      <c r="X27" s="749"/>
      <c r="Y27" s="749"/>
      <c r="Z27" s="749"/>
      <c r="AA27" s="749"/>
      <c r="AB27" s="749"/>
      <c r="AC27" s="749">
        <v>300</v>
      </c>
      <c r="AD27" s="749"/>
      <c r="AE27" s="749"/>
      <c r="AF27" s="749"/>
      <c r="AG27" s="749"/>
      <c r="AH27" s="749"/>
      <c r="AI27" s="749"/>
      <c r="AJ27" s="749"/>
      <c r="AK27" s="749"/>
      <c r="AL27" s="749"/>
      <c r="AM27" s="756"/>
    </row>
    <row r="28" s="737" customFormat="1" ht="18" customHeight="1" spans="1:39">
      <c r="A28" s="741">
        <v>45244</v>
      </c>
      <c r="B28" s="742" t="s">
        <v>2390</v>
      </c>
      <c r="C28" s="743" t="s">
        <v>2412</v>
      </c>
      <c r="D28" s="743" t="s">
        <v>2379</v>
      </c>
      <c r="E28" s="743">
        <v>77485</v>
      </c>
      <c r="F28" s="743">
        <v>100000</v>
      </c>
      <c r="G28" s="744" t="s">
        <v>2380</v>
      </c>
      <c r="H28" s="744"/>
      <c r="I28" s="743" t="s">
        <v>2381</v>
      </c>
      <c r="J28" s="749">
        <v>100000</v>
      </c>
      <c r="K28" s="749"/>
      <c r="L28" s="749"/>
      <c r="M28" s="749"/>
      <c r="N28" s="749"/>
      <c r="O28" s="749"/>
      <c r="P28" s="749"/>
      <c r="Q28" s="749"/>
      <c r="R28" s="749"/>
      <c r="S28" s="749"/>
      <c r="T28" s="749"/>
      <c r="U28" s="749"/>
      <c r="V28" s="749"/>
      <c r="W28" s="749"/>
      <c r="X28" s="749"/>
      <c r="Y28" s="749"/>
      <c r="Z28" s="749"/>
      <c r="AA28" s="749"/>
      <c r="AB28" s="749"/>
      <c r="AC28" s="749"/>
      <c r="AD28" s="749"/>
      <c r="AE28" s="749"/>
      <c r="AF28" s="749"/>
      <c r="AG28" s="749"/>
      <c r="AH28" s="749"/>
      <c r="AI28" s="749"/>
      <c r="AJ28" s="749"/>
      <c r="AK28" s="749"/>
      <c r="AL28" s="749"/>
      <c r="AM28" s="756"/>
    </row>
    <row r="29" s="737" customFormat="1" ht="18" customHeight="1" spans="1:39">
      <c r="A29" s="741">
        <v>45244</v>
      </c>
      <c r="B29" s="742" t="s">
        <v>2390</v>
      </c>
      <c r="C29" s="743" t="s">
        <v>2413</v>
      </c>
      <c r="D29" s="743" t="s">
        <v>2379</v>
      </c>
      <c r="E29" s="743">
        <v>77485</v>
      </c>
      <c r="F29" s="743">
        <v>120000</v>
      </c>
      <c r="G29" s="744" t="s">
        <v>2383</v>
      </c>
      <c r="H29" s="744"/>
      <c r="I29" s="743" t="s">
        <v>2384</v>
      </c>
      <c r="J29" s="749"/>
      <c r="K29" s="749"/>
      <c r="L29" s="749"/>
      <c r="M29" s="749"/>
      <c r="N29" s="749">
        <v>120000</v>
      </c>
      <c r="O29" s="749"/>
      <c r="P29" s="749"/>
      <c r="Q29" s="749"/>
      <c r="R29" s="749"/>
      <c r="S29" s="749"/>
      <c r="T29" s="749"/>
      <c r="U29" s="749"/>
      <c r="V29" s="749"/>
      <c r="W29" s="749"/>
      <c r="X29" s="749"/>
      <c r="Y29" s="749"/>
      <c r="Z29" s="749"/>
      <c r="AA29" s="749"/>
      <c r="AB29" s="749"/>
      <c r="AC29" s="749"/>
      <c r="AD29" s="749"/>
      <c r="AE29" s="749"/>
      <c r="AF29" s="749"/>
      <c r="AG29" s="749"/>
      <c r="AH29" s="749"/>
      <c r="AI29" s="749"/>
      <c r="AJ29" s="749"/>
      <c r="AK29" s="749"/>
      <c r="AL29" s="749"/>
      <c r="AM29" s="756"/>
    </row>
    <row r="30" s="737" customFormat="1" ht="18" customHeight="1" spans="1:39">
      <c r="A30" s="741">
        <v>45244</v>
      </c>
      <c r="B30" s="742" t="s">
        <v>2390</v>
      </c>
      <c r="C30" s="743" t="s">
        <v>2414</v>
      </c>
      <c r="D30" s="743" t="s">
        <v>2379</v>
      </c>
      <c r="E30" s="743" t="s">
        <v>2386</v>
      </c>
      <c r="F30" s="743">
        <v>2500</v>
      </c>
      <c r="G30" s="744" t="s">
        <v>2387</v>
      </c>
      <c r="H30" s="744"/>
      <c r="I30" s="743" t="s">
        <v>2381</v>
      </c>
      <c r="J30" s="749"/>
      <c r="K30" s="749"/>
      <c r="L30" s="749"/>
      <c r="M30" s="749"/>
      <c r="N30" s="749"/>
      <c r="O30" s="749"/>
      <c r="P30" s="749">
        <v>2500</v>
      </c>
      <c r="Q30" s="749"/>
      <c r="R30" s="749"/>
      <c r="S30" s="749"/>
      <c r="T30" s="749"/>
      <c r="U30" s="749"/>
      <c r="V30" s="749"/>
      <c r="W30" s="749"/>
      <c r="X30" s="749"/>
      <c r="Y30" s="749"/>
      <c r="Z30" s="749"/>
      <c r="AA30" s="749"/>
      <c r="AB30" s="749"/>
      <c r="AC30" s="749"/>
      <c r="AD30" s="749"/>
      <c r="AE30" s="749"/>
      <c r="AF30" s="749"/>
      <c r="AG30" s="749"/>
      <c r="AH30" s="749"/>
      <c r="AI30" s="749"/>
      <c r="AJ30" s="749"/>
      <c r="AK30" s="749"/>
      <c r="AL30" s="749"/>
      <c r="AM30" s="756"/>
    </row>
    <row r="31" s="737" customFormat="1" ht="18" customHeight="1" spans="1:39">
      <c r="A31" s="741">
        <v>45244</v>
      </c>
      <c r="B31" s="742" t="s">
        <v>2390</v>
      </c>
      <c r="C31" s="743" t="s">
        <v>2415</v>
      </c>
      <c r="D31" s="743" t="s">
        <v>2379</v>
      </c>
      <c r="E31" s="743" t="s">
        <v>2389</v>
      </c>
      <c r="F31" s="743">
        <v>3000</v>
      </c>
      <c r="G31" s="744" t="s">
        <v>2387</v>
      </c>
      <c r="H31" s="744"/>
      <c r="I31" s="743" t="s">
        <v>2381</v>
      </c>
      <c r="J31" s="749"/>
      <c r="K31" s="749"/>
      <c r="L31" s="749"/>
      <c r="M31" s="749"/>
      <c r="N31" s="749"/>
      <c r="O31" s="749"/>
      <c r="P31" s="749"/>
      <c r="Q31" s="749"/>
      <c r="R31" s="749">
        <v>3000</v>
      </c>
      <c r="S31" s="749"/>
      <c r="T31" s="749"/>
      <c r="U31" s="749"/>
      <c r="V31" s="749"/>
      <c r="W31" s="749"/>
      <c r="X31" s="749"/>
      <c r="Y31" s="749"/>
      <c r="Z31" s="749"/>
      <c r="AA31" s="749"/>
      <c r="AB31" s="749"/>
      <c r="AC31" s="749"/>
      <c r="AD31" s="749"/>
      <c r="AE31" s="749"/>
      <c r="AF31" s="749"/>
      <c r="AG31" s="749"/>
      <c r="AH31" s="749"/>
      <c r="AI31" s="749"/>
      <c r="AJ31" s="749"/>
      <c r="AK31" s="749"/>
      <c r="AL31" s="749"/>
      <c r="AM31" s="756"/>
    </row>
    <row r="32" s="737" customFormat="1" ht="18" customHeight="1" spans="1:39">
      <c r="A32" s="741">
        <v>45257</v>
      </c>
      <c r="B32" s="742" t="s">
        <v>2390</v>
      </c>
      <c r="C32" s="743" t="s">
        <v>2416</v>
      </c>
      <c r="D32" s="743" t="s">
        <v>2379</v>
      </c>
      <c r="E32" s="743">
        <v>77485</v>
      </c>
      <c r="F32" s="743">
        <v>200000</v>
      </c>
      <c r="G32" s="744" t="s">
        <v>2380</v>
      </c>
      <c r="H32" s="744"/>
      <c r="I32" s="743" t="s">
        <v>2381</v>
      </c>
      <c r="J32" s="749">
        <f>F32</f>
        <v>200000</v>
      </c>
      <c r="K32" s="749"/>
      <c r="L32" s="749"/>
      <c r="M32" s="749"/>
      <c r="N32" s="749"/>
      <c r="O32" s="749"/>
      <c r="P32" s="749"/>
      <c r="Q32" s="749"/>
      <c r="R32" s="749"/>
      <c r="S32" s="749"/>
      <c r="T32" s="749"/>
      <c r="U32" s="749"/>
      <c r="V32" s="749"/>
      <c r="W32" s="749"/>
      <c r="X32" s="749"/>
      <c r="Y32" s="749"/>
      <c r="Z32" s="749"/>
      <c r="AA32" s="749"/>
      <c r="AB32" s="749"/>
      <c r="AC32" s="749"/>
      <c r="AD32" s="749"/>
      <c r="AE32" s="749"/>
      <c r="AF32" s="749"/>
      <c r="AG32" s="749"/>
      <c r="AH32" s="749"/>
      <c r="AI32" s="749"/>
      <c r="AJ32" s="749"/>
      <c r="AK32" s="749"/>
      <c r="AL32" s="749"/>
      <c r="AM32" s="756"/>
    </row>
    <row r="33" s="737" customFormat="1" ht="18" customHeight="1" spans="1:39">
      <c r="A33" s="741">
        <v>45257</v>
      </c>
      <c r="B33" s="742" t="s">
        <v>2390</v>
      </c>
      <c r="C33" s="743" t="s">
        <v>2417</v>
      </c>
      <c r="D33" s="743" t="s">
        <v>2379</v>
      </c>
      <c r="E33" s="743">
        <v>77485</v>
      </c>
      <c r="F33" s="743">
        <v>200000</v>
      </c>
      <c r="G33" s="744" t="s">
        <v>2383</v>
      </c>
      <c r="H33" s="744"/>
      <c r="I33" s="743" t="s">
        <v>2384</v>
      </c>
      <c r="J33" s="749"/>
      <c r="K33" s="749"/>
      <c r="L33" s="749"/>
      <c r="M33" s="749"/>
      <c r="N33" s="749">
        <f>F33</f>
        <v>200000</v>
      </c>
      <c r="O33" s="749"/>
      <c r="P33" s="749"/>
      <c r="Q33" s="749"/>
      <c r="R33" s="749"/>
      <c r="S33" s="749"/>
      <c r="T33" s="749"/>
      <c r="U33" s="749"/>
      <c r="V33" s="749"/>
      <c r="W33" s="749"/>
      <c r="X33" s="749"/>
      <c r="Y33" s="749"/>
      <c r="Z33" s="749"/>
      <c r="AA33" s="749"/>
      <c r="AB33" s="749"/>
      <c r="AC33" s="749"/>
      <c r="AD33" s="749"/>
      <c r="AE33" s="749"/>
      <c r="AF33" s="749"/>
      <c r="AG33" s="749"/>
      <c r="AH33" s="749"/>
      <c r="AI33" s="749"/>
      <c r="AJ33" s="749"/>
      <c r="AK33" s="749"/>
      <c r="AL33" s="749"/>
      <c r="AM33" s="756"/>
    </row>
    <row r="34" s="737" customFormat="1" ht="18" customHeight="1" spans="1:39">
      <c r="A34" s="741">
        <v>45257</v>
      </c>
      <c r="B34" s="742" t="s">
        <v>2390</v>
      </c>
      <c r="C34" s="743" t="s">
        <v>2418</v>
      </c>
      <c r="D34" s="743" t="s">
        <v>2379</v>
      </c>
      <c r="E34" s="743" t="s">
        <v>2386</v>
      </c>
      <c r="F34" s="743">
        <v>7000</v>
      </c>
      <c r="G34" s="744" t="s">
        <v>2387</v>
      </c>
      <c r="H34" s="744"/>
      <c r="I34" s="743" t="s">
        <v>2381</v>
      </c>
      <c r="J34" s="749"/>
      <c r="K34" s="749"/>
      <c r="L34" s="749"/>
      <c r="M34" s="749"/>
      <c r="N34" s="749"/>
      <c r="O34" s="749"/>
      <c r="P34" s="749">
        <f>F34</f>
        <v>7000</v>
      </c>
      <c r="Q34" s="749"/>
      <c r="R34" s="749"/>
      <c r="S34" s="749"/>
      <c r="T34" s="749"/>
      <c r="U34" s="749"/>
      <c r="V34" s="749"/>
      <c r="W34" s="749"/>
      <c r="X34" s="749"/>
      <c r="Y34" s="749"/>
      <c r="Z34" s="749"/>
      <c r="AA34" s="749"/>
      <c r="AB34" s="749"/>
      <c r="AC34" s="749"/>
      <c r="AD34" s="749"/>
      <c r="AE34" s="749"/>
      <c r="AF34" s="749"/>
      <c r="AG34" s="749"/>
      <c r="AH34" s="749"/>
      <c r="AI34" s="749"/>
      <c r="AJ34" s="749"/>
      <c r="AK34" s="749"/>
      <c r="AL34" s="749"/>
      <c r="AM34" s="756"/>
    </row>
    <row r="35" s="737" customFormat="1" ht="18" customHeight="1" spans="1:39">
      <c r="A35" s="741">
        <v>45257</v>
      </c>
      <c r="B35" s="742" t="s">
        <v>2390</v>
      </c>
      <c r="C35" s="743" t="s">
        <v>2419</v>
      </c>
      <c r="D35" s="743" t="s">
        <v>2379</v>
      </c>
      <c r="E35" s="743" t="s">
        <v>2389</v>
      </c>
      <c r="F35" s="743">
        <v>1000</v>
      </c>
      <c r="G35" s="744" t="s">
        <v>2387</v>
      </c>
      <c r="H35" s="744"/>
      <c r="I35" s="743" t="s">
        <v>2381</v>
      </c>
      <c r="J35" s="749"/>
      <c r="K35" s="749"/>
      <c r="L35" s="749"/>
      <c r="M35" s="749"/>
      <c r="N35" s="749"/>
      <c r="O35" s="749"/>
      <c r="P35" s="749"/>
      <c r="Q35" s="749"/>
      <c r="R35" s="749">
        <f>F35</f>
        <v>1000</v>
      </c>
      <c r="S35" s="749"/>
      <c r="T35" s="749"/>
      <c r="U35" s="749"/>
      <c r="V35" s="749"/>
      <c r="W35" s="749"/>
      <c r="X35" s="749"/>
      <c r="Y35" s="749"/>
      <c r="Z35" s="749"/>
      <c r="AA35" s="749"/>
      <c r="AB35" s="749"/>
      <c r="AC35" s="749"/>
      <c r="AD35" s="749"/>
      <c r="AE35" s="749"/>
      <c r="AF35" s="749"/>
      <c r="AG35" s="749"/>
      <c r="AH35" s="749"/>
      <c r="AI35" s="749"/>
      <c r="AJ35" s="749"/>
      <c r="AK35" s="749"/>
      <c r="AL35" s="749"/>
      <c r="AM35" s="756"/>
    </row>
    <row r="36" s="737" customFormat="1" ht="18" customHeight="1" spans="1:39">
      <c r="A36" s="741">
        <v>45264</v>
      </c>
      <c r="B36" s="742" t="s">
        <v>2370</v>
      </c>
      <c r="C36" s="743">
        <v>1000017647</v>
      </c>
      <c r="D36" s="743" t="s">
        <v>2371</v>
      </c>
      <c r="E36" s="743">
        <v>77486</v>
      </c>
      <c r="F36" s="743">
        <v>10000</v>
      </c>
      <c r="G36" s="744" t="s">
        <v>2420</v>
      </c>
      <c r="H36" s="744"/>
      <c r="I36" s="743" t="s">
        <v>140</v>
      </c>
      <c r="J36" s="749"/>
      <c r="K36" s="749"/>
      <c r="L36" s="749"/>
      <c r="M36" s="749"/>
      <c r="N36" s="749"/>
      <c r="O36" s="749"/>
      <c r="P36" s="749"/>
      <c r="Q36" s="749"/>
      <c r="R36" s="749"/>
      <c r="S36" s="749"/>
      <c r="T36" s="749"/>
      <c r="U36" s="749"/>
      <c r="V36" s="749"/>
      <c r="W36" s="749"/>
      <c r="X36" s="749"/>
      <c r="Y36" s="749"/>
      <c r="Z36" s="749"/>
      <c r="AA36" s="749"/>
      <c r="AB36" s="749"/>
      <c r="AC36" s="749"/>
      <c r="AD36" s="749"/>
      <c r="AE36" s="749"/>
      <c r="AF36" s="749">
        <v>10000</v>
      </c>
      <c r="AG36" s="749"/>
      <c r="AH36" s="749"/>
      <c r="AI36" s="749"/>
      <c r="AJ36" s="749"/>
      <c r="AK36" s="749"/>
      <c r="AL36" s="749"/>
      <c r="AM36" s="1304" t="s">
        <v>2421</v>
      </c>
    </row>
    <row r="37" s="737" customFormat="1" ht="18" customHeight="1" spans="1:39">
      <c r="A37" s="741">
        <v>45264</v>
      </c>
      <c r="B37" s="742" t="s">
        <v>2370</v>
      </c>
      <c r="C37" s="743">
        <v>1000017648</v>
      </c>
      <c r="D37" s="743" t="s">
        <v>2371</v>
      </c>
      <c r="E37" s="743">
        <v>77486</v>
      </c>
      <c r="F37" s="743">
        <v>10000</v>
      </c>
      <c r="G37" s="744" t="s">
        <v>2422</v>
      </c>
      <c r="H37" s="744"/>
      <c r="I37" s="743" t="s">
        <v>140</v>
      </c>
      <c r="J37" s="749"/>
      <c r="K37" s="749"/>
      <c r="L37" s="749"/>
      <c r="M37" s="749"/>
      <c r="N37" s="749"/>
      <c r="O37" s="749"/>
      <c r="P37" s="749"/>
      <c r="Q37" s="749"/>
      <c r="R37" s="749"/>
      <c r="S37" s="749"/>
      <c r="T37" s="749"/>
      <c r="U37" s="749"/>
      <c r="V37" s="749"/>
      <c r="W37" s="749"/>
      <c r="X37" s="749"/>
      <c r="Y37" s="749"/>
      <c r="Z37" s="749"/>
      <c r="AA37" s="749"/>
      <c r="AB37" s="749"/>
      <c r="AC37" s="749"/>
      <c r="AD37" s="749"/>
      <c r="AE37" s="749"/>
      <c r="AF37" s="749"/>
      <c r="AG37" s="749">
        <v>10000</v>
      </c>
      <c r="AH37" s="749"/>
      <c r="AI37" s="749"/>
      <c r="AJ37" s="749"/>
      <c r="AK37" s="749"/>
      <c r="AL37" s="749"/>
      <c r="AM37" s="1304" t="s">
        <v>2421</v>
      </c>
    </row>
    <row r="38" s="737" customFormat="1" ht="18" customHeight="1" spans="1:39">
      <c r="A38" s="741">
        <v>45264</v>
      </c>
      <c r="B38" s="742" t="s">
        <v>2370</v>
      </c>
      <c r="C38" s="743">
        <v>1000017649</v>
      </c>
      <c r="D38" s="743" t="s">
        <v>2371</v>
      </c>
      <c r="E38" s="743">
        <v>77486</v>
      </c>
      <c r="F38" s="743">
        <v>10000</v>
      </c>
      <c r="G38" s="744" t="s">
        <v>2423</v>
      </c>
      <c r="H38" s="744"/>
      <c r="I38" s="743" t="s">
        <v>140</v>
      </c>
      <c r="J38" s="749"/>
      <c r="K38" s="749"/>
      <c r="L38" s="749"/>
      <c r="M38" s="749"/>
      <c r="N38" s="749"/>
      <c r="O38" s="749"/>
      <c r="P38" s="749"/>
      <c r="Q38" s="749"/>
      <c r="R38" s="749"/>
      <c r="S38" s="749"/>
      <c r="T38" s="749"/>
      <c r="U38" s="749"/>
      <c r="V38" s="749"/>
      <c r="W38" s="749"/>
      <c r="X38" s="749"/>
      <c r="Y38" s="749"/>
      <c r="Z38" s="749"/>
      <c r="AA38" s="749"/>
      <c r="AB38" s="749"/>
      <c r="AC38" s="749"/>
      <c r="AD38" s="749"/>
      <c r="AE38" s="749"/>
      <c r="AF38" s="749"/>
      <c r="AG38" s="749"/>
      <c r="AH38" s="749">
        <v>10000</v>
      </c>
      <c r="AI38" s="749"/>
      <c r="AJ38" s="749"/>
      <c r="AK38" s="749"/>
      <c r="AL38" s="749"/>
      <c r="AM38" s="1304" t="s">
        <v>2421</v>
      </c>
    </row>
    <row r="39" s="737" customFormat="1" ht="18" customHeight="1" spans="1:39">
      <c r="A39" s="741">
        <v>45264</v>
      </c>
      <c r="B39" s="742" t="s">
        <v>2370</v>
      </c>
      <c r="C39" s="743">
        <v>1000017650</v>
      </c>
      <c r="D39" s="743" t="s">
        <v>2371</v>
      </c>
      <c r="E39" s="743" t="s">
        <v>2424</v>
      </c>
      <c r="F39" s="743">
        <v>20000</v>
      </c>
      <c r="G39" s="744" t="s">
        <v>2425</v>
      </c>
      <c r="H39" s="744"/>
      <c r="I39" s="743" t="s">
        <v>140</v>
      </c>
      <c r="J39" s="749"/>
      <c r="K39" s="749">
        <v>20000</v>
      </c>
      <c r="L39" s="749"/>
      <c r="M39" s="749"/>
      <c r="N39" s="749"/>
      <c r="O39" s="749"/>
      <c r="P39" s="749"/>
      <c r="Q39" s="749"/>
      <c r="R39" s="749"/>
      <c r="S39" s="749"/>
      <c r="T39" s="749"/>
      <c r="U39" s="749"/>
      <c r="V39" s="749"/>
      <c r="W39" s="749"/>
      <c r="X39" s="749"/>
      <c r="Y39" s="749"/>
      <c r="Z39" s="749"/>
      <c r="AA39" s="749"/>
      <c r="AB39" s="749"/>
      <c r="AC39" s="749"/>
      <c r="AD39" s="749"/>
      <c r="AE39" s="749"/>
      <c r="AF39" s="749"/>
      <c r="AG39" s="749"/>
      <c r="AH39" s="749"/>
      <c r="AI39" s="749"/>
      <c r="AJ39" s="749"/>
      <c r="AK39" s="749"/>
      <c r="AL39" s="749"/>
      <c r="AM39" s="1304" t="s">
        <v>2421</v>
      </c>
    </row>
    <row r="40" s="737" customFormat="1" ht="18" customHeight="1" spans="1:39">
      <c r="A40" s="741">
        <v>45271</v>
      </c>
      <c r="B40" s="742" t="s">
        <v>2370</v>
      </c>
      <c r="C40" s="743" t="s">
        <v>2426</v>
      </c>
      <c r="D40" s="743" t="s">
        <v>2379</v>
      </c>
      <c r="E40" s="743">
        <v>77485</v>
      </c>
      <c r="F40" s="743">
        <v>200000</v>
      </c>
      <c r="G40" s="744" t="s">
        <v>2380</v>
      </c>
      <c r="H40" s="744"/>
      <c r="I40" s="743" t="s">
        <v>2381</v>
      </c>
      <c r="J40" s="749">
        <v>200000</v>
      </c>
      <c r="K40" s="749"/>
      <c r="L40" s="749"/>
      <c r="M40" s="749"/>
      <c r="N40" s="749"/>
      <c r="O40" s="749"/>
      <c r="P40" s="749"/>
      <c r="Q40" s="749"/>
      <c r="R40" s="749"/>
      <c r="S40" s="749"/>
      <c r="T40" s="749"/>
      <c r="U40" s="749"/>
      <c r="V40" s="749"/>
      <c r="W40" s="749"/>
      <c r="X40" s="749"/>
      <c r="Y40" s="749"/>
      <c r="Z40" s="749"/>
      <c r="AA40" s="749"/>
      <c r="AB40" s="749"/>
      <c r="AC40" s="749"/>
      <c r="AD40" s="749"/>
      <c r="AE40" s="749"/>
      <c r="AF40" s="749"/>
      <c r="AG40" s="749"/>
      <c r="AH40" s="749"/>
      <c r="AI40" s="749"/>
      <c r="AJ40" s="749"/>
      <c r="AK40" s="749"/>
      <c r="AL40" s="749"/>
      <c r="AM40" s="788"/>
    </row>
    <row r="41" s="737" customFormat="1" ht="18" customHeight="1" spans="1:39">
      <c r="A41" s="741">
        <v>45271</v>
      </c>
      <c r="B41" s="742" t="s">
        <v>2370</v>
      </c>
      <c r="C41" s="743" t="s">
        <v>2427</v>
      </c>
      <c r="D41" s="743" t="s">
        <v>2379</v>
      </c>
      <c r="E41" s="743">
        <v>77485</v>
      </c>
      <c r="F41" s="743">
        <v>20000</v>
      </c>
      <c r="G41" s="744" t="s">
        <v>2380</v>
      </c>
      <c r="H41" s="744" t="s">
        <v>2321</v>
      </c>
      <c r="I41" s="743" t="s">
        <v>2393</v>
      </c>
      <c r="J41" s="749"/>
      <c r="K41" s="749"/>
      <c r="L41" s="749"/>
      <c r="M41" s="749">
        <v>20000</v>
      </c>
      <c r="N41" s="749"/>
      <c r="O41" s="749"/>
      <c r="P41" s="749"/>
      <c r="Q41" s="749"/>
      <c r="R41" s="749"/>
      <c r="S41" s="749"/>
      <c r="T41" s="749"/>
      <c r="U41" s="749"/>
      <c r="V41" s="749"/>
      <c r="W41" s="749"/>
      <c r="X41" s="749"/>
      <c r="Y41" s="749"/>
      <c r="Z41" s="749"/>
      <c r="AA41" s="749"/>
      <c r="AB41" s="749"/>
      <c r="AC41" s="749"/>
      <c r="AD41" s="749"/>
      <c r="AE41" s="749"/>
      <c r="AF41" s="749"/>
      <c r="AG41" s="749"/>
      <c r="AH41" s="749"/>
      <c r="AI41" s="749"/>
      <c r="AJ41" s="749"/>
      <c r="AK41" s="749"/>
      <c r="AL41" s="749"/>
      <c r="AM41" s="788"/>
    </row>
    <row r="42" s="737" customFormat="1" ht="18" customHeight="1" spans="1:39">
      <c r="A42" s="741">
        <v>45271</v>
      </c>
      <c r="B42" s="742" t="s">
        <v>2370</v>
      </c>
      <c r="C42" s="743" t="s">
        <v>2428</v>
      </c>
      <c r="D42" s="743" t="s">
        <v>2379</v>
      </c>
      <c r="E42" s="743">
        <v>77485</v>
      </c>
      <c r="F42" s="743">
        <v>260000</v>
      </c>
      <c r="G42" s="744" t="s">
        <v>2383</v>
      </c>
      <c r="H42" s="744"/>
      <c r="I42" s="743" t="s">
        <v>2384</v>
      </c>
      <c r="J42" s="749"/>
      <c r="K42" s="749"/>
      <c r="L42" s="749"/>
      <c r="M42" s="749"/>
      <c r="N42" s="749">
        <v>260000</v>
      </c>
      <c r="O42" s="749"/>
      <c r="P42" s="749"/>
      <c r="Q42" s="749"/>
      <c r="R42" s="749"/>
      <c r="S42" s="749"/>
      <c r="T42" s="749"/>
      <c r="U42" s="749"/>
      <c r="V42" s="749"/>
      <c r="W42" s="749"/>
      <c r="X42" s="749"/>
      <c r="Y42" s="749"/>
      <c r="Z42" s="749"/>
      <c r="AA42" s="749"/>
      <c r="AB42" s="749"/>
      <c r="AC42" s="749"/>
      <c r="AD42" s="749"/>
      <c r="AE42" s="749"/>
      <c r="AF42" s="749"/>
      <c r="AG42" s="749"/>
      <c r="AH42" s="749"/>
      <c r="AI42" s="749"/>
      <c r="AJ42" s="749"/>
      <c r="AK42" s="749"/>
      <c r="AL42" s="749"/>
      <c r="AM42" s="788"/>
    </row>
    <row r="43" s="737" customFormat="1" ht="18" customHeight="1" spans="1:39">
      <c r="A43" s="741">
        <v>45271</v>
      </c>
      <c r="B43" s="742" t="s">
        <v>2370</v>
      </c>
      <c r="C43" s="743">
        <v>1000017724</v>
      </c>
      <c r="D43" s="743" t="s">
        <v>2379</v>
      </c>
      <c r="E43" s="743" t="s">
        <v>2386</v>
      </c>
      <c r="F43" s="743">
        <v>8500</v>
      </c>
      <c r="G43" s="744" t="s">
        <v>2387</v>
      </c>
      <c r="H43" s="744"/>
      <c r="I43" s="743" t="s">
        <v>2381</v>
      </c>
      <c r="J43" s="749"/>
      <c r="K43" s="749"/>
      <c r="L43" s="749"/>
      <c r="M43" s="749"/>
      <c r="N43" s="749"/>
      <c r="O43" s="749"/>
      <c r="P43" s="749">
        <v>8500</v>
      </c>
      <c r="Q43" s="749"/>
      <c r="R43" s="749"/>
      <c r="S43" s="749"/>
      <c r="T43" s="749"/>
      <c r="U43" s="749"/>
      <c r="V43" s="749"/>
      <c r="W43" s="749"/>
      <c r="X43" s="749"/>
      <c r="Y43" s="749"/>
      <c r="Z43" s="749"/>
      <c r="AA43" s="749"/>
      <c r="AB43" s="749"/>
      <c r="AC43" s="749"/>
      <c r="AD43" s="749"/>
      <c r="AE43" s="749"/>
      <c r="AF43" s="749"/>
      <c r="AG43" s="749"/>
      <c r="AH43" s="749"/>
      <c r="AI43" s="749"/>
      <c r="AJ43" s="749"/>
      <c r="AK43" s="749"/>
      <c r="AL43" s="749"/>
      <c r="AM43" s="788"/>
    </row>
    <row r="44" s="737" customFormat="1" ht="18" customHeight="1" spans="1:39">
      <c r="A44" s="741">
        <v>45271</v>
      </c>
      <c r="B44" s="742" t="s">
        <v>2370</v>
      </c>
      <c r="C44" s="743" t="s">
        <v>2429</v>
      </c>
      <c r="D44" s="743" t="s">
        <v>2379</v>
      </c>
      <c r="E44" s="743" t="s">
        <v>2389</v>
      </c>
      <c r="F44" s="743">
        <v>2000</v>
      </c>
      <c r="G44" s="744" t="s">
        <v>2387</v>
      </c>
      <c r="H44" s="744"/>
      <c r="I44" s="743" t="s">
        <v>2381</v>
      </c>
      <c r="J44" s="749"/>
      <c r="K44" s="749"/>
      <c r="L44" s="749"/>
      <c r="M44" s="749"/>
      <c r="N44" s="749"/>
      <c r="O44" s="749"/>
      <c r="P44" s="749"/>
      <c r="Q44" s="749"/>
      <c r="R44" s="749">
        <v>2000</v>
      </c>
      <c r="S44" s="749"/>
      <c r="T44" s="749"/>
      <c r="U44" s="749"/>
      <c r="V44" s="749"/>
      <c r="W44" s="749"/>
      <c r="X44" s="749"/>
      <c r="Y44" s="749"/>
      <c r="Z44" s="749"/>
      <c r="AA44" s="749"/>
      <c r="AB44" s="749"/>
      <c r="AC44" s="749"/>
      <c r="AD44" s="749"/>
      <c r="AE44" s="749"/>
      <c r="AF44" s="749"/>
      <c r="AG44" s="749"/>
      <c r="AH44" s="749"/>
      <c r="AI44" s="749"/>
      <c r="AJ44" s="749"/>
      <c r="AK44" s="749"/>
      <c r="AL44" s="749"/>
      <c r="AM44" s="788"/>
    </row>
    <row r="45" s="737" customFormat="1" ht="18" customHeight="1" spans="1:39">
      <c r="A45" s="741">
        <v>45271</v>
      </c>
      <c r="B45" s="742" t="s">
        <v>2370</v>
      </c>
      <c r="C45" s="743">
        <v>1000017726</v>
      </c>
      <c r="D45" s="743" t="s">
        <v>2379</v>
      </c>
      <c r="E45" s="743" t="s">
        <v>2386</v>
      </c>
      <c r="F45" s="743">
        <v>500</v>
      </c>
      <c r="G45" s="744" t="s">
        <v>2387</v>
      </c>
      <c r="H45" s="744"/>
      <c r="I45" s="743" t="s">
        <v>2393</v>
      </c>
      <c r="J45" s="749"/>
      <c r="K45" s="749"/>
      <c r="L45" s="749"/>
      <c r="M45" s="749"/>
      <c r="N45" s="749"/>
      <c r="O45" s="749"/>
      <c r="P45" s="749"/>
      <c r="Q45" s="749">
        <v>500</v>
      </c>
      <c r="R45" s="749"/>
      <c r="S45" s="749"/>
      <c r="T45" s="749"/>
      <c r="U45" s="749"/>
      <c r="V45" s="749"/>
      <c r="W45" s="749"/>
      <c r="X45" s="749"/>
      <c r="Y45" s="749"/>
      <c r="Z45" s="749"/>
      <c r="AA45" s="749"/>
      <c r="AB45" s="749"/>
      <c r="AC45" s="749"/>
      <c r="AD45" s="749"/>
      <c r="AE45" s="749"/>
      <c r="AF45" s="749"/>
      <c r="AG45" s="749"/>
      <c r="AH45" s="749"/>
      <c r="AI45" s="749"/>
      <c r="AJ45" s="749"/>
      <c r="AK45" s="749"/>
      <c r="AL45" s="749"/>
      <c r="AM45" s="756"/>
    </row>
    <row r="46" s="737" customFormat="1" ht="18" customHeight="1" spans="1:39">
      <c r="A46" s="741">
        <v>45282</v>
      </c>
      <c r="B46" s="742" t="s">
        <v>2370</v>
      </c>
      <c r="C46" s="743">
        <v>1000017929</v>
      </c>
      <c r="D46" s="743" t="s">
        <v>2371</v>
      </c>
      <c r="E46" s="743" t="s">
        <v>2372</v>
      </c>
      <c r="F46" s="743">
        <v>1801</v>
      </c>
      <c r="G46" s="744" t="s">
        <v>2373</v>
      </c>
      <c r="H46" s="744"/>
      <c r="I46" s="743" t="s">
        <v>140</v>
      </c>
      <c r="J46" s="749"/>
      <c r="K46" s="749"/>
      <c r="L46" s="749"/>
      <c r="M46" s="749"/>
      <c r="N46" s="749"/>
      <c r="O46" s="749"/>
      <c r="P46" s="749"/>
      <c r="Q46" s="749"/>
      <c r="R46" s="749"/>
      <c r="S46" s="749"/>
      <c r="T46" s="749"/>
      <c r="U46" s="749"/>
      <c r="V46" s="749"/>
      <c r="W46" s="749"/>
      <c r="X46" s="749"/>
      <c r="Y46" s="749"/>
      <c r="Z46" s="749"/>
      <c r="AA46" s="749">
        <v>1801</v>
      </c>
      <c r="AB46" s="749"/>
      <c r="AC46" s="749"/>
      <c r="AD46" s="749"/>
      <c r="AE46" s="749"/>
      <c r="AF46" s="749"/>
      <c r="AG46" s="749"/>
      <c r="AH46" s="749"/>
      <c r="AI46" s="749"/>
      <c r="AJ46" s="749"/>
      <c r="AK46" s="749"/>
      <c r="AL46" s="749"/>
      <c r="AM46" s="756"/>
    </row>
    <row r="47" s="737" customFormat="1" ht="18" customHeight="1" spans="1:39">
      <c r="A47" s="741">
        <v>45307</v>
      </c>
      <c r="B47" s="742" t="s">
        <v>2370</v>
      </c>
      <c r="C47" s="743">
        <v>1000018268</v>
      </c>
      <c r="D47" s="743" t="s">
        <v>2371</v>
      </c>
      <c r="E47" s="743">
        <v>77486</v>
      </c>
      <c r="F47" s="743">
        <v>10000</v>
      </c>
      <c r="G47" s="744" t="s">
        <v>2420</v>
      </c>
      <c r="H47" s="744"/>
      <c r="I47" s="743" t="s">
        <v>140</v>
      </c>
      <c r="J47" s="749"/>
      <c r="K47" s="749"/>
      <c r="L47" s="749"/>
      <c r="M47" s="749"/>
      <c r="N47" s="749"/>
      <c r="O47" s="749"/>
      <c r="P47" s="749"/>
      <c r="Q47" s="749"/>
      <c r="R47" s="749"/>
      <c r="S47" s="749"/>
      <c r="T47" s="749"/>
      <c r="U47" s="749"/>
      <c r="V47" s="749"/>
      <c r="W47" s="749"/>
      <c r="X47" s="749"/>
      <c r="Y47" s="749"/>
      <c r="Z47" s="749"/>
      <c r="AA47" s="749"/>
      <c r="AB47" s="749"/>
      <c r="AC47" s="749"/>
      <c r="AD47" s="749"/>
      <c r="AE47" s="749"/>
      <c r="AF47" s="749">
        <v>10000</v>
      </c>
      <c r="AG47" s="749"/>
      <c r="AH47" s="749"/>
      <c r="AI47" s="749"/>
      <c r="AJ47" s="749"/>
      <c r="AK47" s="749"/>
      <c r="AL47" s="749"/>
      <c r="AM47" s="1304" t="s">
        <v>2430</v>
      </c>
    </row>
    <row r="48" s="737" customFormat="1" ht="18" customHeight="1" spans="1:39">
      <c r="A48" s="741">
        <v>45307</v>
      </c>
      <c r="B48" s="742" t="s">
        <v>2370</v>
      </c>
      <c r="C48" s="743">
        <v>1000018269</v>
      </c>
      <c r="D48" s="743" t="s">
        <v>2371</v>
      </c>
      <c r="E48" s="743">
        <v>77486</v>
      </c>
      <c r="F48" s="743">
        <v>10000</v>
      </c>
      <c r="G48" s="744" t="s">
        <v>2422</v>
      </c>
      <c r="H48" s="744"/>
      <c r="I48" s="743" t="s">
        <v>140</v>
      </c>
      <c r="J48" s="749"/>
      <c r="K48" s="749"/>
      <c r="L48" s="749"/>
      <c r="M48" s="749"/>
      <c r="N48" s="749"/>
      <c r="O48" s="749"/>
      <c r="P48" s="749"/>
      <c r="Q48" s="749"/>
      <c r="R48" s="749"/>
      <c r="S48" s="749"/>
      <c r="T48" s="749"/>
      <c r="U48" s="749"/>
      <c r="V48" s="749"/>
      <c r="W48" s="749"/>
      <c r="X48" s="749"/>
      <c r="Y48" s="749"/>
      <c r="Z48" s="749"/>
      <c r="AA48" s="749"/>
      <c r="AB48" s="749"/>
      <c r="AC48" s="749"/>
      <c r="AD48" s="749"/>
      <c r="AE48" s="749"/>
      <c r="AF48" s="749"/>
      <c r="AG48" s="749">
        <v>10000</v>
      </c>
      <c r="AH48" s="749"/>
      <c r="AI48" s="749"/>
      <c r="AJ48" s="749"/>
      <c r="AK48" s="749"/>
      <c r="AL48" s="749"/>
      <c r="AM48" s="1304" t="s">
        <v>2431</v>
      </c>
    </row>
    <row r="49" s="737" customFormat="1" ht="18" customHeight="1" spans="1:39">
      <c r="A49" s="741">
        <v>45307</v>
      </c>
      <c r="B49" s="742" t="s">
        <v>2370</v>
      </c>
      <c r="C49" s="743">
        <v>1000018270</v>
      </c>
      <c r="D49" s="743" t="s">
        <v>2371</v>
      </c>
      <c r="E49" s="743">
        <v>77486</v>
      </c>
      <c r="F49" s="743">
        <v>10000</v>
      </c>
      <c r="G49" s="744" t="s">
        <v>2423</v>
      </c>
      <c r="H49" s="744"/>
      <c r="I49" s="743" t="s">
        <v>140</v>
      </c>
      <c r="J49" s="749"/>
      <c r="K49" s="749"/>
      <c r="L49" s="749"/>
      <c r="M49" s="749"/>
      <c r="N49" s="749"/>
      <c r="O49" s="749"/>
      <c r="P49" s="749"/>
      <c r="Q49" s="749"/>
      <c r="R49" s="749"/>
      <c r="S49" s="749"/>
      <c r="T49" s="749"/>
      <c r="U49" s="749"/>
      <c r="V49" s="749"/>
      <c r="W49" s="749"/>
      <c r="X49" s="749"/>
      <c r="Y49" s="749"/>
      <c r="Z49" s="749"/>
      <c r="AA49" s="749"/>
      <c r="AB49" s="749"/>
      <c r="AC49" s="749"/>
      <c r="AD49" s="749"/>
      <c r="AE49" s="749"/>
      <c r="AF49" s="749"/>
      <c r="AG49" s="749"/>
      <c r="AH49" s="749">
        <v>10000</v>
      </c>
      <c r="AI49" s="749"/>
      <c r="AJ49" s="749"/>
      <c r="AK49" s="749"/>
      <c r="AL49" s="749"/>
      <c r="AM49" s="1304" t="s">
        <v>2430</v>
      </c>
    </row>
    <row r="50" s="737" customFormat="1" ht="18" customHeight="1" spans="1:39">
      <c r="A50" s="741">
        <v>45344</v>
      </c>
      <c r="B50" s="742" t="s">
        <v>2370</v>
      </c>
      <c r="C50" s="743" t="s">
        <v>2432</v>
      </c>
      <c r="D50" s="743" t="s">
        <v>2433</v>
      </c>
      <c r="E50" s="743">
        <v>77485</v>
      </c>
      <c r="F50" s="743">
        <v>40000</v>
      </c>
      <c r="G50" s="744" t="s">
        <v>2380</v>
      </c>
      <c r="H50" s="744" t="s">
        <v>2434</v>
      </c>
      <c r="I50" s="743" t="s">
        <v>2381</v>
      </c>
      <c r="J50" s="749">
        <v>40000</v>
      </c>
      <c r="K50" s="749"/>
      <c r="L50" s="749"/>
      <c r="M50" s="749"/>
      <c r="N50" s="749"/>
      <c r="O50" s="749"/>
      <c r="P50" s="749"/>
      <c r="Q50" s="749"/>
      <c r="R50" s="749"/>
      <c r="S50" s="749"/>
      <c r="T50" s="749"/>
      <c r="U50" s="749"/>
      <c r="V50" s="749"/>
      <c r="W50" s="749"/>
      <c r="X50" s="749"/>
      <c r="Y50" s="749"/>
      <c r="Z50" s="749"/>
      <c r="AA50" s="749"/>
      <c r="AB50" s="749"/>
      <c r="AC50" s="749"/>
      <c r="AD50" s="749"/>
      <c r="AE50" s="749"/>
      <c r="AF50" s="749"/>
      <c r="AG50" s="749"/>
      <c r="AH50" s="749"/>
      <c r="AI50" s="749"/>
      <c r="AJ50" s="749"/>
      <c r="AK50" s="749"/>
      <c r="AL50" s="749"/>
      <c r="AM50" s="789" t="s">
        <v>2435</v>
      </c>
    </row>
    <row r="51" s="737" customFormat="1" ht="18" customHeight="1" spans="1:39">
      <c r="A51" s="741">
        <v>45344</v>
      </c>
      <c r="B51" s="742" t="s">
        <v>2370</v>
      </c>
      <c r="C51" s="743" t="s">
        <v>2436</v>
      </c>
      <c r="D51" s="743" t="s">
        <v>2433</v>
      </c>
      <c r="E51" s="743">
        <v>77485</v>
      </c>
      <c r="F51" s="743">
        <v>40000</v>
      </c>
      <c r="G51" s="744" t="s">
        <v>2383</v>
      </c>
      <c r="H51" s="744" t="s">
        <v>2437</v>
      </c>
      <c r="I51" s="743" t="s">
        <v>2384</v>
      </c>
      <c r="J51" s="749"/>
      <c r="K51" s="749"/>
      <c r="L51" s="749"/>
      <c r="M51" s="749"/>
      <c r="N51" s="749">
        <v>40000</v>
      </c>
      <c r="O51" s="749"/>
      <c r="P51" s="749"/>
      <c r="Q51" s="749"/>
      <c r="R51" s="749"/>
      <c r="S51" s="749"/>
      <c r="T51" s="749"/>
      <c r="U51" s="749"/>
      <c r="V51" s="749"/>
      <c r="W51" s="749"/>
      <c r="X51" s="749"/>
      <c r="Y51" s="749"/>
      <c r="Z51" s="749"/>
      <c r="AA51" s="749"/>
      <c r="AB51" s="749"/>
      <c r="AC51" s="749"/>
      <c r="AD51" s="749"/>
      <c r="AE51" s="749"/>
      <c r="AF51" s="749"/>
      <c r="AG51" s="749"/>
      <c r="AH51" s="749"/>
      <c r="AI51" s="749"/>
      <c r="AJ51" s="749"/>
      <c r="AK51" s="749"/>
      <c r="AL51" s="749"/>
      <c r="AM51" s="789" t="s">
        <v>2435</v>
      </c>
    </row>
    <row r="52" s="737" customFormat="1" ht="18" customHeight="1" spans="1:39">
      <c r="A52" s="741">
        <v>45344</v>
      </c>
      <c r="B52" s="742" t="s">
        <v>2370</v>
      </c>
      <c r="C52" s="743" t="s">
        <v>2438</v>
      </c>
      <c r="D52" s="743" t="s">
        <v>2433</v>
      </c>
      <c r="E52" s="743" t="s">
        <v>2439</v>
      </c>
      <c r="F52" s="743">
        <v>1000</v>
      </c>
      <c r="G52" s="744" t="s">
        <v>2387</v>
      </c>
      <c r="H52" s="744" t="s">
        <v>2321</v>
      </c>
      <c r="I52" s="743" t="s">
        <v>2381</v>
      </c>
      <c r="J52" s="749"/>
      <c r="K52" s="749"/>
      <c r="L52" s="749"/>
      <c r="M52" s="749"/>
      <c r="N52" s="749"/>
      <c r="O52" s="749"/>
      <c r="P52" s="749"/>
      <c r="Q52" s="749"/>
      <c r="R52" s="749"/>
      <c r="S52" s="749"/>
      <c r="T52" s="749"/>
      <c r="U52" s="749"/>
      <c r="V52" s="749">
        <v>1000</v>
      </c>
      <c r="W52" s="749"/>
      <c r="X52" s="749"/>
      <c r="Y52" s="749"/>
      <c r="Z52" s="749"/>
      <c r="AA52" s="749"/>
      <c r="AB52" s="749"/>
      <c r="AC52" s="749"/>
      <c r="AD52" s="749"/>
      <c r="AE52" s="749"/>
      <c r="AF52" s="749"/>
      <c r="AG52" s="749"/>
      <c r="AH52" s="749"/>
      <c r="AI52" s="749"/>
      <c r="AJ52" s="749"/>
      <c r="AK52" s="749"/>
      <c r="AL52" s="749"/>
      <c r="AM52" s="788"/>
    </row>
    <row r="53" s="737" customFormat="1" ht="18" customHeight="1" spans="1:39">
      <c r="A53" s="741">
        <v>45344</v>
      </c>
      <c r="B53" s="742" t="s">
        <v>2370</v>
      </c>
      <c r="C53" s="743" t="s">
        <v>2440</v>
      </c>
      <c r="D53" s="743" t="s">
        <v>2433</v>
      </c>
      <c r="E53" s="743" t="s">
        <v>2439</v>
      </c>
      <c r="F53" s="743">
        <v>500</v>
      </c>
      <c r="G53" s="744" t="s">
        <v>2387</v>
      </c>
      <c r="H53" s="744" t="s">
        <v>2321</v>
      </c>
      <c r="I53" s="743" t="s">
        <v>2393</v>
      </c>
      <c r="J53" s="749"/>
      <c r="K53" s="749"/>
      <c r="L53" s="749"/>
      <c r="M53" s="749"/>
      <c r="N53" s="749"/>
      <c r="O53" s="749"/>
      <c r="P53" s="749"/>
      <c r="Q53" s="749"/>
      <c r="R53" s="749"/>
      <c r="S53" s="749"/>
      <c r="T53" s="749"/>
      <c r="U53" s="749"/>
      <c r="V53" s="749"/>
      <c r="W53" s="749">
        <v>500</v>
      </c>
      <c r="X53" s="749"/>
      <c r="Y53" s="749"/>
      <c r="Z53" s="749"/>
      <c r="AA53" s="749"/>
      <c r="AB53" s="749"/>
      <c r="AC53" s="749"/>
      <c r="AD53" s="749"/>
      <c r="AE53" s="749"/>
      <c r="AF53" s="749"/>
      <c r="AG53" s="749"/>
      <c r="AH53" s="749"/>
      <c r="AI53" s="749"/>
      <c r="AJ53" s="749"/>
      <c r="AK53" s="749"/>
      <c r="AL53" s="749"/>
      <c r="AM53" s="788"/>
    </row>
    <row r="54" s="737" customFormat="1" ht="18" customHeight="1" spans="1:39">
      <c r="A54" s="741">
        <v>45344</v>
      </c>
      <c r="B54" s="742" t="s">
        <v>2370</v>
      </c>
      <c r="C54" s="743" t="s">
        <v>2441</v>
      </c>
      <c r="D54" s="743" t="s">
        <v>2433</v>
      </c>
      <c r="E54" s="743" t="s">
        <v>2442</v>
      </c>
      <c r="F54" s="743">
        <v>500</v>
      </c>
      <c r="G54" s="744" t="s">
        <v>2387</v>
      </c>
      <c r="H54" s="744" t="s">
        <v>2321</v>
      </c>
      <c r="I54" s="743" t="s">
        <v>2381</v>
      </c>
      <c r="J54" s="749"/>
      <c r="K54" s="749"/>
      <c r="L54" s="749"/>
      <c r="M54" s="749"/>
      <c r="N54" s="749"/>
      <c r="O54" s="749"/>
      <c r="P54" s="749"/>
      <c r="Q54" s="749"/>
      <c r="R54" s="749"/>
      <c r="S54" s="749"/>
      <c r="T54" s="749"/>
      <c r="U54" s="749"/>
      <c r="V54" s="749"/>
      <c r="W54" s="749"/>
      <c r="X54" s="749">
        <v>500</v>
      </c>
      <c r="Y54" s="749"/>
      <c r="Z54" s="749"/>
      <c r="AA54" s="749"/>
      <c r="AB54" s="749"/>
      <c r="AC54" s="749"/>
      <c r="AD54" s="749"/>
      <c r="AE54" s="749"/>
      <c r="AF54" s="749"/>
      <c r="AG54" s="749"/>
      <c r="AH54" s="749"/>
      <c r="AI54" s="749"/>
      <c r="AJ54" s="749"/>
      <c r="AK54" s="749"/>
      <c r="AL54" s="749"/>
      <c r="AM54" s="788"/>
    </row>
    <row r="55" s="737" customFormat="1" ht="18" customHeight="1" spans="1:39">
      <c r="A55" s="741">
        <v>45372</v>
      </c>
      <c r="B55" s="742" t="s">
        <v>2370</v>
      </c>
      <c r="C55" s="743">
        <v>1000019031</v>
      </c>
      <c r="D55" s="744" t="s">
        <v>2443</v>
      </c>
      <c r="E55" s="743">
        <v>77486</v>
      </c>
      <c r="F55" s="743">
        <v>10000</v>
      </c>
      <c r="G55" s="744" t="s">
        <v>2420</v>
      </c>
      <c r="H55" s="744" t="s">
        <v>140</v>
      </c>
      <c r="I55" s="743"/>
      <c r="J55" s="749"/>
      <c r="K55" s="749"/>
      <c r="L55" s="749"/>
      <c r="M55" s="749"/>
      <c r="N55" s="749"/>
      <c r="O55" s="749"/>
      <c r="P55" s="749"/>
      <c r="Q55" s="749"/>
      <c r="R55" s="749"/>
      <c r="S55" s="749"/>
      <c r="T55" s="749"/>
      <c r="U55" s="749"/>
      <c r="V55" s="749"/>
      <c r="W55" s="749"/>
      <c r="X55" s="749"/>
      <c r="Y55" s="749"/>
      <c r="Z55" s="749"/>
      <c r="AA55" s="749"/>
      <c r="AB55" s="749"/>
      <c r="AC55" s="749"/>
      <c r="AD55" s="749"/>
      <c r="AE55" s="749"/>
      <c r="AF55" s="749">
        <v>10000</v>
      </c>
      <c r="AG55" s="749"/>
      <c r="AH55" s="749"/>
      <c r="AI55" s="749"/>
      <c r="AJ55" s="749"/>
      <c r="AK55" s="749"/>
      <c r="AL55" s="749"/>
      <c r="AM55" s="1304" t="s">
        <v>2444</v>
      </c>
    </row>
    <row r="56" s="737" customFormat="1" ht="18" customHeight="1" spans="1:39">
      <c r="A56" s="741">
        <v>45372</v>
      </c>
      <c r="B56" s="742" t="s">
        <v>2370</v>
      </c>
      <c r="C56" s="743">
        <v>1000019032</v>
      </c>
      <c r="D56" s="744" t="s">
        <v>2443</v>
      </c>
      <c r="E56" s="743">
        <v>77486</v>
      </c>
      <c r="F56" s="743">
        <v>5000</v>
      </c>
      <c r="G56" s="744" t="s">
        <v>2422</v>
      </c>
      <c r="H56" s="744" t="s">
        <v>140</v>
      </c>
      <c r="I56" s="743"/>
      <c r="J56" s="749"/>
      <c r="K56" s="749"/>
      <c r="L56" s="749"/>
      <c r="M56" s="749"/>
      <c r="N56" s="749"/>
      <c r="O56" s="749"/>
      <c r="P56" s="749"/>
      <c r="Q56" s="749"/>
      <c r="R56" s="749"/>
      <c r="S56" s="749"/>
      <c r="T56" s="749"/>
      <c r="U56" s="749"/>
      <c r="V56" s="749"/>
      <c r="W56" s="749"/>
      <c r="X56" s="749"/>
      <c r="Y56" s="749"/>
      <c r="Z56" s="749"/>
      <c r="AA56" s="749"/>
      <c r="AB56" s="749"/>
      <c r="AC56" s="749"/>
      <c r="AD56" s="749"/>
      <c r="AE56" s="749"/>
      <c r="AF56" s="749"/>
      <c r="AG56" s="749">
        <v>5000</v>
      </c>
      <c r="AH56" s="749"/>
      <c r="AI56" s="749"/>
      <c r="AJ56" s="749"/>
      <c r="AK56" s="749"/>
      <c r="AL56" s="749"/>
      <c r="AM56" s="1304" t="s">
        <v>2444</v>
      </c>
    </row>
    <row r="57" s="737" customFormat="1" ht="18" customHeight="1" spans="1:39">
      <c r="A57" s="741">
        <v>45372</v>
      </c>
      <c r="B57" s="742" t="s">
        <v>2370</v>
      </c>
      <c r="C57" s="743">
        <v>1000019033</v>
      </c>
      <c r="D57" s="744" t="s">
        <v>2443</v>
      </c>
      <c r="E57" s="743">
        <v>77486</v>
      </c>
      <c r="F57" s="743">
        <v>5000</v>
      </c>
      <c r="G57" s="744" t="s">
        <v>2423</v>
      </c>
      <c r="H57" s="744" t="s">
        <v>140</v>
      </c>
      <c r="I57" s="743"/>
      <c r="J57" s="749"/>
      <c r="K57" s="749"/>
      <c r="L57" s="749"/>
      <c r="M57" s="749"/>
      <c r="N57" s="749"/>
      <c r="O57" s="749"/>
      <c r="P57" s="749"/>
      <c r="Q57" s="749"/>
      <c r="R57" s="749"/>
      <c r="S57" s="749"/>
      <c r="T57" s="749"/>
      <c r="U57" s="749"/>
      <c r="V57" s="749"/>
      <c r="W57" s="749"/>
      <c r="X57" s="749"/>
      <c r="Y57" s="749"/>
      <c r="Z57" s="749"/>
      <c r="AA57" s="749"/>
      <c r="AB57" s="749"/>
      <c r="AC57" s="749"/>
      <c r="AD57" s="749"/>
      <c r="AE57" s="749"/>
      <c r="AF57" s="749"/>
      <c r="AG57" s="749"/>
      <c r="AH57" s="749">
        <v>5000</v>
      </c>
      <c r="AI57" s="749"/>
      <c r="AJ57" s="749"/>
      <c r="AK57" s="749"/>
      <c r="AL57" s="749"/>
      <c r="AM57" s="1304" t="s">
        <v>2444</v>
      </c>
    </row>
    <row r="58" s="737" customFormat="1" ht="18" customHeight="1" spans="1:39">
      <c r="A58" s="741">
        <v>45376</v>
      </c>
      <c r="B58" s="742"/>
      <c r="C58" s="743" t="s">
        <v>2445</v>
      </c>
      <c r="D58" s="743" t="s">
        <v>2371</v>
      </c>
      <c r="E58" s="743" t="s">
        <v>2446</v>
      </c>
      <c r="F58" s="743">
        <v>8308</v>
      </c>
      <c r="G58" s="744" t="s">
        <v>2387</v>
      </c>
      <c r="H58" s="744" t="s">
        <v>2447</v>
      </c>
      <c r="I58" s="743"/>
      <c r="J58" s="749"/>
      <c r="K58" s="749"/>
      <c r="L58" s="749"/>
      <c r="M58" s="749"/>
      <c r="N58" s="749"/>
      <c r="O58" s="749"/>
      <c r="P58" s="749"/>
      <c r="Q58" s="749"/>
      <c r="R58" s="749"/>
      <c r="S58" s="749"/>
      <c r="T58" s="749"/>
      <c r="U58" s="749"/>
      <c r="V58" s="749"/>
      <c r="W58" s="749"/>
      <c r="X58" s="749"/>
      <c r="Y58" s="749"/>
      <c r="Z58" s="749"/>
      <c r="AA58" s="749"/>
      <c r="AB58" s="749"/>
      <c r="AC58" s="749"/>
      <c r="AD58" s="749"/>
      <c r="AE58" s="749"/>
      <c r="AF58" s="749"/>
      <c r="AG58" s="749"/>
      <c r="AH58" s="749"/>
      <c r="AI58" s="749"/>
      <c r="AJ58" s="749"/>
      <c r="AK58" s="749"/>
      <c r="AL58" s="749">
        <v>8308</v>
      </c>
      <c r="AM58" s="788" t="s">
        <v>2448</v>
      </c>
    </row>
    <row r="59" s="737" customFormat="1" ht="18" customHeight="1" spans="1:39">
      <c r="A59" s="741">
        <v>45378</v>
      </c>
      <c r="B59" s="742" t="s">
        <v>2370</v>
      </c>
      <c r="C59" s="743" t="s">
        <v>2449</v>
      </c>
      <c r="D59" s="743" t="s">
        <v>2433</v>
      </c>
      <c r="E59" s="743">
        <v>77485</v>
      </c>
      <c r="F59" s="743">
        <v>54000</v>
      </c>
      <c r="G59" s="744" t="s">
        <v>2380</v>
      </c>
      <c r="H59" s="744" t="s">
        <v>2434</v>
      </c>
      <c r="I59" s="743" t="s">
        <v>2381</v>
      </c>
      <c r="J59" s="749">
        <v>54000</v>
      </c>
      <c r="K59" s="749"/>
      <c r="L59" s="749"/>
      <c r="M59" s="749"/>
      <c r="N59" s="749"/>
      <c r="O59" s="749"/>
      <c r="P59" s="749"/>
      <c r="Q59" s="749"/>
      <c r="R59" s="749"/>
      <c r="S59" s="749"/>
      <c r="T59" s="749"/>
      <c r="U59" s="749"/>
      <c r="V59" s="749"/>
      <c r="W59" s="749"/>
      <c r="X59" s="749"/>
      <c r="Y59" s="749"/>
      <c r="Z59" s="749"/>
      <c r="AA59" s="749"/>
      <c r="AB59" s="749"/>
      <c r="AC59" s="749"/>
      <c r="AD59" s="749"/>
      <c r="AE59" s="749"/>
      <c r="AF59" s="749"/>
      <c r="AG59" s="749"/>
      <c r="AH59" s="749"/>
      <c r="AI59" s="749"/>
      <c r="AJ59" s="749"/>
      <c r="AK59" s="749"/>
      <c r="AL59" s="749"/>
      <c r="AM59" s="788" t="s">
        <v>2435</v>
      </c>
    </row>
    <row r="60" s="737" customFormat="1" ht="18" customHeight="1" spans="1:39">
      <c r="A60" s="741">
        <v>45378</v>
      </c>
      <c r="B60" s="742" t="s">
        <v>2370</v>
      </c>
      <c r="C60" s="743" t="s">
        <v>2450</v>
      </c>
      <c r="D60" s="743" t="s">
        <v>2433</v>
      </c>
      <c r="E60" s="743">
        <v>77485</v>
      </c>
      <c r="F60" s="743">
        <v>80000</v>
      </c>
      <c r="G60" s="744" t="s">
        <v>2383</v>
      </c>
      <c r="H60" s="744" t="s">
        <v>2437</v>
      </c>
      <c r="I60" s="743" t="s">
        <v>2384</v>
      </c>
      <c r="J60" s="749"/>
      <c r="K60" s="749"/>
      <c r="L60" s="749"/>
      <c r="M60" s="749"/>
      <c r="N60" s="749">
        <v>80000</v>
      </c>
      <c r="O60" s="749"/>
      <c r="P60" s="749"/>
      <c r="Q60" s="749"/>
      <c r="R60" s="749"/>
      <c r="S60" s="749"/>
      <c r="T60" s="749"/>
      <c r="U60" s="749"/>
      <c r="V60" s="749"/>
      <c r="W60" s="749"/>
      <c r="X60" s="749"/>
      <c r="Y60" s="749"/>
      <c r="Z60" s="749"/>
      <c r="AA60" s="749"/>
      <c r="AB60" s="749"/>
      <c r="AC60" s="749"/>
      <c r="AD60" s="749"/>
      <c r="AE60" s="749"/>
      <c r="AF60" s="749"/>
      <c r="AG60" s="749"/>
      <c r="AH60" s="749"/>
      <c r="AI60" s="749"/>
      <c r="AJ60" s="749"/>
      <c r="AK60" s="749"/>
      <c r="AL60" s="749"/>
      <c r="AM60" s="788" t="s">
        <v>2435</v>
      </c>
    </row>
    <row r="61" s="737" customFormat="1" ht="18" customHeight="1" spans="1:39">
      <c r="A61" s="741">
        <v>45378</v>
      </c>
      <c r="B61" s="742" t="s">
        <v>2370</v>
      </c>
      <c r="C61" s="743" t="s">
        <v>2451</v>
      </c>
      <c r="D61" s="743" t="s">
        <v>2433</v>
      </c>
      <c r="E61" s="743" t="s">
        <v>2439</v>
      </c>
      <c r="F61" s="743">
        <v>1500</v>
      </c>
      <c r="G61" s="744" t="s">
        <v>2387</v>
      </c>
      <c r="H61" s="744" t="s">
        <v>2321</v>
      </c>
      <c r="I61" s="743" t="s">
        <v>2381</v>
      </c>
      <c r="J61" s="749"/>
      <c r="K61" s="749"/>
      <c r="L61" s="749"/>
      <c r="M61" s="749"/>
      <c r="N61" s="749"/>
      <c r="O61" s="749"/>
      <c r="P61" s="749"/>
      <c r="Q61" s="749"/>
      <c r="R61" s="749"/>
      <c r="S61" s="749"/>
      <c r="T61" s="749"/>
      <c r="U61" s="749"/>
      <c r="V61" s="749">
        <v>1500</v>
      </c>
      <c r="W61" s="749"/>
      <c r="X61" s="749"/>
      <c r="Y61" s="749"/>
      <c r="Z61" s="749"/>
      <c r="AA61" s="749"/>
      <c r="AB61" s="749"/>
      <c r="AC61" s="749"/>
      <c r="AD61" s="749"/>
      <c r="AE61" s="749"/>
      <c r="AF61" s="749"/>
      <c r="AG61" s="749"/>
      <c r="AH61" s="749"/>
      <c r="AI61" s="749"/>
      <c r="AJ61" s="749"/>
      <c r="AK61" s="749"/>
      <c r="AL61" s="749"/>
      <c r="AM61" s="756"/>
    </row>
    <row r="62" s="737" customFormat="1" ht="18" customHeight="1" spans="1:39">
      <c r="A62" s="741"/>
      <c r="B62" s="742"/>
      <c r="C62" s="743"/>
      <c r="D62" s="743" t="s">
        <v>2452</v>
      </c>
      <c r="E62" s="743" t="s">
        <v>2424</v>
      </c>
      <c r="F62" s="743">
        <v>20000</v>
      </c>
      <c r="G62" s="744" t="s">
        <v>2380</v>
      </c>
      <c r="H62" s="744"/>
      <c r="I62" s="743" t="s">
        <v>140</v>
      </c>
      <c r="J62" s="749"/>
      <c r="K62" s="749">
        <v>20000</v>
      </c>
      <c r="L62" s="749"/>
      <c r="M62" s="749"/>
      <c r="N62" s="749"/>
      <c r="O62" s="749"/>
      <c r="P62" s="749"/>
      <c r="Q62" s="749"/>
      <c r="R62" s="749"/>
      <c r="S62" s="749"/>
      <c r="T62" s="749"/>
      <c r="U62" s="749"/>
      <c r="V62" s="749"/>
      <c r="W62" s="749"/>
      <c r="X62" s="749"/>
      <c r="Y62" s="749"/>
      <c r="Z62" s="749"/>
      <c r="AA62" s="749"/>
      <c r="AB62" s="749"/>
      <c r="AC62" s="749"/>
      <c r="AD62" s="749"/>
      <c r="AE62" s="749"/>
      <c r="AF62" s="749"/>
      <c r="AG62" s="749"/>
      <c r="AH62" s="749"/>
      <c r="AI62" s="749"/>
      <c r="AJ62" s="749"/>
      <c r="AK62" s="749"/>
      <c r="AL62" s="749"/>
      <c r="AM62" s="756"/>
    </row>
    <row r="63" s="737" customFormat="1" ht="18" customHeight="1" spans="1:39">
      <c r="A63" s="741"/>
      <c r="B63" s="742"/>
      <c r="C63" s="743"/>
      <c r="D63" s="743" t="s">
        <v>2452</v>
      </c>
      <c r="E63" s="743" t="s">
        <v>2424</v>
      </c>
      <c r="F63" s="743">
        <v>20000</v>
      </c>
      <c r="G63" s="744" t="s">
        <v>2380</v>
      </c>
      <c r="H63" s="744"/>
      <c r="I63" s="743" t="s">
        <v>140</v>
      </c>
      <c r="J63" s="749"/>
      <c r="K63" s="749">
        <v>20000</v>
      </c>
      <c r="L63" s="749"/>
      <c r="M63" s="749"/>
      <c r="N63" s="749"/>
      <c r="O63" s="749"/>
      <c r="P63" s="749"/>
      <c r="Q63" s="749"/>
      <c r="R63" s="749"/>
      <c r="S63" s="749"/>
      <c r="T63" s="749"/>
      <c r="U63" s="749"/>
      <c r="V63" s="749"/>
      <c r="W63" s="749"/>
      <c r="X63" s="749"/>
      <c r="Y63" s="749"/>
      <c r="Z63" s="749"/>
      <c r="AA63" s="749"/>
      <c r="AB63" s="749"/>
      <c r="AC63" s="749"/>
      <c r="AD63" s="749"/>
      <c r="AE63" s="749"/>
      <c r="AF63" s="749"/>
      <c r="AG63" s="749"/>
      <c r="AH63" s="749"/>
      <c r="AI63" s="749"/>
      <c r="AJ63" s="749"/>
      <c r="AK63" s="749"/>
      <c r="AL63" s="749"/>
      <c r="AM63" s="756"/>
    </row>
    <row r="64" s="737" customFormat="1" ht="18" customHeight="1" spans="1:39">
      <c r="A64" s="741">
        <v>45383</v>
      </c>
      <c r="B64" s="742" t="s">
        <v>2370</v>
      </c>
      <c r="C64" s="743" t="s">
        <v>2453</v>
      </c>
      <c r="D64" s="743" t="s">
        <v>2433</v>
      </c>
      <c r="E64" s="743">
        <v>77485</v>
      </c>
      <c r="F64" s="743">
        <v>20000</v>
      </c>
      <c r="G64" s="744" t="s">
        <v>2380</v>
      </c>
      <c r="H64" s="744" t="s">
        <v>2434</v>
      </c>
      <c r="I64" s="743" t="s">
        <v>2393</v>
      </c>
      <c r="J64" s="749"/>
      <c r="K64" s="749"/>
      <c r="L64" s="749"/>
      <c r="M64" s="749">
        <v>20000</v>
      </c>
      <c r="N64" s="749"/>
      <c r="O64" s="749"/>
      <c r="P64" s="749"/>
      <c r="Q64" s="749"/>
      <c r="R64" s="749"/>
      <c r="S64" s="749"/>
      <c r="T64" s="749"/>
      <c r="U64" s="749"/>
      <c r="V64" s="749"/>
      <c r="W64" s="749"/>
      <c r="X64" s="749"/>
      <c r="Y64" s="749"/>
      <c r="Z64" s="749"/>
      <c r="AA64" s="749"/>
      <c r="AB64" s="749"/>
      <c r="AC64" s="749"/>
      <c r="AD64" s="749"/>
      <c r="AE64" s="749"/>
      <c r="AF64" s="749"/>
      <c r="AG64" s="749"/>
      <c r="AH64" s="749"/>
      <c r="AI64" s="749"/>
      <c r="AJ64" s="749"/>
      <c r="AK64" s="749"/>
      <c r="AL64" s="749"/>
      <c r="AM64" s="756"/>
    </row>
    <row r="65" s="737" customFormat="1" ht="18" customHeight="1" spans="1:39">
      <c r="A65" s="741">
        <v>45385</v>
      </c>
      <c r="B65" s="742" t="s">
        <v>2370</v>
      </c>
      <c r="C65" s="743">
        <v>1000019317</v>
      </c>
      <c r="D65" s="743" t="s">
        <v>2371</v>
      </c>
      <c r="E65" s="743">
        <v>77486</v>
      </c>
      <c r="F65" s="743">
        <v>6648</v>
      </c>
      <c r="G65" s="744" t="s">
        <v>2420</v>
      </c>
      <c r="H65" s="744"/>
      <c r="I65" s="743" t="s">
        <v>2454</v>
      </c>
      <c r="J65" s="749"/>
      <c r="K65" s="749"/>
      <c r="L65" s="749"/>
      <c r="M65" s="749"/>
      <c r="N65" s="749"/>
      <c r="O65" s="749"/>
      <c r="P65" s="749"/>
      <c r="Q65" s="749"/>
      <c r="R65" s="749"/>
      <c r="S65" s="749"/>
      <c r="T65" s="749"/>
      <c r="U65" s="749"/>
      <c r="V65" s="749"/>
      <c r="W65" s="749"/>
      <c r="X65" s="749"/>
      <c r="Y65" s="749"/>
      <c r="Z65" s="749"/>
      <c r="AA65" s="749"/>
      <c r="AB65" s="749"/>
      <c r="AC65" s="749"/>
      <c r="AD65" s="749"/>
      <c r="AE65" s="749"/>
      <c r="AF65" s="749">
        <v>6648</v>
      </c>
      <c r="AG65" s="749"/>
      <c r="AH65" s="749"/>
      <c r="AI65" s="749"/>
      <c r="AJ65" s="749"/>
      <c r="AK65" s="749"/>
      <c r="AL65" s="749"/>
      <c r="AM65" s="1305" t="s">
        <v>2455</v>
      </c>
    </row>
    <row r="66" s="737" customFormat="1" ht="18" customHeight="1" spans="1:39">
      <c r="A66" s="741">
        <v>45385</v>
      </c>
      <c r="B66" s="742" t="s">
        <v>2370</v>
      </c>
      <c r="C66" s="743">
        <v>1000019318</v>
      </c>
      <c r="D66" s="743" t="s">
        <v>2371</v>
      </c>
      <c r="E66" s="743">
        <v>77486</v>
      </c>
      <c r="F66" s="743">
        <v>10176</v>
      </c>
      <c r="G66" s="744" t="s">
        <v>2422</v>
      </c>
      <c r="H66" s="744"/>
      <c r="I66" s="743" t="s">
        <v>2393</v>
      </c>
      <c r="J66" s="749"/>
      <c r="K66" s="749"/>
      <c r="L66" s="749"/>
      <c r="M66" s="749"/>
      <c r="N66" s="749"/>
      <c r="O66" s="749"/>
      <c r="P66" s="749"/>
      <c r="Q66" s="749"/>
      <c r="R66" s="749"/>
      <c r="S66" s="749"/>
      <c r="T66" s="749"/>
      <c r="U66" s="749"/>
      <c r="V66" s="749"/>
      <c r="W66" s="749"/>
      <c r="X66" s="749"/>
      <c r="Y66" s="749"/>
      <c r="Z66" s="749"/>
      <c r="AA66" s="749"/>
      <c r="AB66" s="749"/>
      <c r="AC66" s="749"/>
      <c r="AD66" s="749"/>
      <c r="AE66" s="749"/>
      <c r="AF66" s="749"/>
      <c r="AG66" s="749">
        <v>10176</v>
      </c>
      <c r="AH66" s="749"/>
      <c r="AI66" s="749"/>
      <c r="AJ66" s="749"/>
      <c r="AK66" s="749"/>
      <c r="AL66" s="749"/>
      <c r="AM66" s="1305" t="s">
        <v>2455</v>
      </c>
    </row>
    <row r="67" s="737" customFormat="1" ht="18" customHeight="1" spans="1:39">
      <c r="A67" s="741">
        <v>45385</v>
      </c>
      <c r="B67" s="742" t="s">
        <v>2370</v>
      </c>
      <c r="C67" s="743">
        <v>1000019319</v>
      </c>
      <c r="D67" s="743" t="s">
        <v>2371</v>
      </c>
      <c r="E67" s="743">
        <v>77486</v>
      </c>
      <c r="F67" s="743">
        <v>6648</v>
      </c>
      <c r="G67" s="744" t="s">
        <v>2456</v>
      </c>
      <c r="H67" s="744"/>
      <c r="I67" s="743" t="s">
        <v>2454</v>
      </c>
      <c r="J67" s="749"/>
      <c r="K67" s="749"/>
      <c r="L67" s="749"/>
      <c r="M67" s="749"/>
      <c r="N67" s="749"/>
      <c r="O67" s="749"/>
      <c r="P67" s="749"/>
      <c r="Q67" s="749"/>
      <c r="R67" s="749"/>
      <c r="S67" s="749"/>
      <c r="T67" s="749"/>
      <c r="U67" s="749"/>
      <c r="V67" s="749"/>
      <c r="W67" s="749"/>
      <c r="X67" s="749"/>
      <c r="Y67" s="749"/>
      <c r="Z67" s="749"/>
      <c r="AA67" s="749"/>
      <c r="AB67" s="749"/>
      <c r="AC67" s="749"/>
      <c r="AD67" s="749"/>
      <c r="AE67" s="749"/>
      <c r="AF67" s="749"/>
      <c r="AG67" s="749"/>
      <c r="AH67" s="749">
        <v>6648</v>
      </c>
      <c r="AI67" s="749"/>
      <c r="AJ67" s="749"/>
      <c r="AK67" s="749"/>
      <c r="AL67" s="749"/>
      <c r="AM67" s="1305" t="s">
        <v>2455</v>
      </c>
    </row>
    <row r="68" s="737" customFormat="1" ht="18" customHeight="1" spans="1:39">
      <c r="A68" s="741">
        <v>45385</v>
      </c>
      <c r="B68" s="742" t="s">
        <v>2370</v>
      </c>
      <c r="C68" s="743">
        <v>1000019322</v>
      </c>
      <c r="D68" s="743" t="s">
        <v>2371</v>
      </c>
      <c r="E68" s="743" t="s">
        <v>2424</v>
      </c>
      <c r="F68" s="743">
        <v>20000</v>
      </c>
      <c r="G68" s="744" t="s">
        <v>2425</v>
      </c>
      <c r="H68" s="744"/>
      <c r="I68" s="743" t="s">
        <v>2381</v>
      </c>
      <c r="J68" s="749"/>
      <c r="K68" s="749">
        <v>20000</v>
      </c>
      <c r="L68" s="749"/>
      <c r="M68" s="749"/>
      <c r="N68" s="749"/>
      <c r="O68" s="749"/>
      <c r="P68" s="749"/>
      <c r="Q68" s="749"/>
      <c r="R68" s="749"/>
      <c r="S68" s="749"/>
      <c r="T68" s="749"/>
      <c r="U68" s="749"/>
      <c r="V68" s="749"/>
      <c r="W68" s="749"/>
      <c r="X68" s="749"/>
      <c r="Y68" s="749"/>
      <c r="Z68" s="749"/>
      <c r="AA68" s="749"/>
      <c r="AB68" s="749"/>
      <c r="AC68" s="749"/>
      <c r="AD68" s="749"/>
      <c r="AE68" s="749"/>
      <c r="AF68" s="749"/>
      <c r="AG68" s="749"/>
      <c r="AH68" s="749"/>
      <c r="AI68" s="749"/>
      <c r="AJ68" s="749"/>
      <c r="AK68" s="749"/>
      <c r="AL68" s="749"/>
      <c r="AM68" s="1305" t="s">
        <v>2457</v>
      </c>
    </row>
    <row r="69" s="737" customFormat="1" ht="18" customHeight="1" spans="1:39">
      <c r="A69" s="741">
        <v>45385</v>
      </c>
      <c r="B69" s="742" t="s">
        <v>2370</v>
      </c>
      <c r="C69" s="743">
        <v>1000019320</v>
      </c>
      <c r="D69" s="743" t="s">
        <v>2458</v>
      </c>
      <c r="E69" s="743" t="s">
        <v>2389</v>
      </c>
      <c r="F69" s="744">
        <v>12672</v>
      </c>
      <c r="G69" s="744" t="s">
        <v>2387</v>
      </c>
      <c r="H69" s="744"/>
      <c r="I69" s="743" t="s">
        <v>2381</v>
      </c>
      <c r="J69" s="749"/>
      <c r="K69" s="749"/>
      <c r="L69" s="749"/>
      <c r="M69" s="749"/>
      <c r="N69" s="749"/>
      <c r="O69" s="749"/>
      <c r="P69" s="749"/>
      <c r="Q69" s="749"/>
      <c r="R69" s="749"/>
      <c r="S69" s="749">
        <v>12672</v>
      </c>
      <c r="T69" s="749"/>
      <c r="U69" s="749"/>
      <c r="V69" s="749"/>
      <c r="W69" s="749"/>
      <c r="X69" s="749"/>
      <c r="Y69" s="749"/>
      <c r="Z69" s="749"/>
      <c r="AA69" s="749"/>
      <c r="AB69" s="749"/>
      <c r="AC69" s="749"/>
      <c r="AD69" s="749"/>
      <c r="AE69" s="749"/>
      <c r="AF69" s="749"/>
      <c r="AG69" s="749"/>
      <c r="AH69" s="749"/>
      <c r="AI69" s="749"/>
      <c r="AJ69" s="749"/>
      <c r="AK69" s="749"/>
      <c r="AL69" s="749"/>
      <c r="AM69" s="1305" t="s">
        <v>2459</v>
      </c>
    </row>
    <row r="70" s="737" customFormat="1" ht="18" customHeight="1" spans="1:39">
      <c r="A70" s="741">
        <v>45385</v>
      </c>
      <c r="B70" s="742" t="s">
        <v>2370</v>
      </c>
      <c r="C70" s="743">
        <v>1000019321</v>
      </c>
      <c r="D70" s="743" t="s">
        <v>2458</v>
      </c>
      <c r="E70" s="743">
        <v>77485</v>
      </c>
      <c r="F70" s="743">
        <v>152064</v>
      </c>
      <c r="G70" s="744" t="s">
        <v>2377</v>
      </c>
      <c r="H70" s="744"/>
      <c r="I70" s="743" t="s">
        <v>2384</v>
      </c>
      <c r="J70" s="749"/>
      <c r="K70" s="749"/>
      <c r="L70" s="749"/>
      <c r="M70" s="749"/>
      <c r="N70" s="749"/>
      <c r="O70" s="749">
        <v>152064</v>
      </c>
      <c r="P70" s="749"/>
      <c r="Q70" s="749"/>
      <c r="R70" s="749"/>
      <c r="S70" s="749"/>
      <c r="T70" s="749"/>
      <c r="U70" s="749"/>
      <c r="V70" s="749"/>
      <c r="W70" s="749"/>
      <c r="X70" s="749"/>
      <c r="Y70" s="749"/>
      <c r="Z70" s="749"/>
      <c r="AA70" s="749"/>
      <c r="AB70" s="749"/>
      <c r="AC70" s="749"/>
      <c r="AD70" s="749"/>
      <c r="AE70" s="749"/>
      <c r="AF70" s="749"/>
      <c r="AG70" s="749"/>
      <c r="AH70" s="749"/>
      <c r="AI70" s="749"/>
      <c r="AJ70" s="749"/>
      <c r="AK70" s="749"/>
      <c r="AL70" s="749"/>
      <c r="AM70" s="1305" t="s">
        <v>2459</v>
      </c>
    </row>
    <row r="71" s="737" customFormat="1" ht="18" customHeight="1" spans="1:39">
      <c r="A71" s="741">
        <v>45393</v>
      </c>
      <c r="B71" s="742" t="s">
        <v>2370</v>
      </c>
      <c r="C71" s="743" t="s">
        <v>2460</v>
      </c>
      <c r="D71" s="743" t="s">
        <v>2433</v>
      </c>
      <c r="E71" s="743">
        <v>77485</v>
      </c>
      <c r="F71" s="743">
        <v>100000</v>
      </c>
      <c r="G71" s="744" t="s">
        <v>2380</v>
      </c>
      <c r="H71" s="744" t="s">
        <v>2321</v>
      </c>
      <c r="I71" s="743" t="s">
        <v>2381</v>
      </c>
      <c r="J71" s="749">
        <v>100000</v>
      </c>
      <c r="K71" s="749"/>
      <c r="L71" s="749"/>
      <c r="M71" s="749"/>
      <c r="N71" s="749"/>
      <c r="O71" s="749"/>
      <c r="P71" s="749"/>
      <c r="Q71" s="749"/>
      <c r="R71" s="749"/>
      <c r="S71" s="749"/>
      <c r="T71" s="749"/>
      <c r="U71" s="749"/>
      <c r="V71" s="749"/>
      <c r="W71" s="749"/>
      <c r="X71" s="749"/>
      <c r="Y71" s="749"/>
      <c r="Z71" s="749"/>
      <c r="AA71" s="749"/>
      <c r="AB71" s="749"/>
      <c r="AC71" s="749"/>
      <c r="AD71" s="749"/>
      <c r="AE71" s="749"/>
      <c r="AF71" s="749"/>
      <c r="AG71" s="749"/>
      <c r="AH71" s="749"/>
      <c r="AI71" s="749"/>
      <c r="AJ71" s="749"/>
      <c r="AK71" s="749"/>
      <c r="AL71" s="749"/>
      <c r="AM71" s="756"/>
    </row>
    <row r="72" s="737" customFormat="1" ht="18" customHeight="1" spans="1:39">
      <c r="A72" s="741">
        <v>45393</v>
      </c>
      <c r="B72" s="742" t="s">
        <v>2370</v>
      </c>
      <c r="C72" s="743" t="s">
        <v>2461</v>
      </c>
      <c r="D72" s="743" t="s">
        <v>2433</v>
      </c>
      <c r="E72" s="743">
        <v>77485</v>
      </c>
      <c r="F72" s="743">
        <v>110000</v>
      </c>
      <c r="G72" s="744" t="s">
        <v>2380</v>
      </c>
      <c r="H72" s="744" t="s">
        <v>2434</v>
      </c>
      <c r="I72" s="743" t="s">
        <v>2381</v>
      </c>
      <c r="J72" s="749">
        <v>110000</v>
      </c>
      <c r="K72" s="749"/>
      <c r="L72" s="749"/>
      <c r="M72" s="749"/>
      <c r="N72" s="749"/>
      <c r="O72" s="749"/>
      <c r="P72" s="749"/>
      <c r="Q72" s="749"/>
      <c r="R72" s="749"/>
      <c r="S72" s="749"/>
      <c r="T72" s="749"/>
      <c r="U72" s="749"/>
      <c r="V72" s="749"/>
      <c r="W72" s="749"/>
      <c r="X72" s="749"/>
      <c r="Y72" s="749"/>
      <c r="Z72" s="749"/>
      <c r="AA72" s="749"/>
      <c r="AB72" s="749"/>
      <c r="AC72" s="749"/>
      <c r="AD72" s="749"/>
      <c r="AE72" s="749"/>
      <c r="AF72" s="749"/>
      <c r="AG72" s="749"/>
      <c r="AH72" s="749"/>
      <c r="AI72" s="749"/>
      <c r="AJ72" s="749"/>
      <c r="AK72" s="749"/>
      <c r="AL72" s="749"/>
      <c r="AM72" s="756"/>
    </row>
    <row r="73" s="737" customFormat="1" ht="18" customHeight="1" spans="1:39">
      <c r="A73" s="741">
        <v>45393</v>
      </c>
      <c r="B73" s="742" t="s">
        <v>2370</v>
      </c>
      <c r="C73" s="743" t="s">
        <v>2462</v>
      </c>
      <c r="D73" s="743" t="s">
        <v>2433</v>
      </c>
      <c r="E73" s="743">
        <v>77485</v>
      </c>
      <c r="F73" s="743">
        <v>30000</v>
      </c>
      <c r="G73" s="744" t="s">
        <v>2383</v>
      </c>
      <c r="H73" s="744" t="s">
        <v>2437</v>
      </c>
      <c r="I73" s="743" t="s">
        <v>2384</v>
      </c>
      <c r="J73" s="749"/>
      <c r="K73" s="749"/>
      <c r="L73" s="749"/>
      <c r="M73" s="749"/>
      <c r="N73" s="749">
        <v>30000</v>
      </c>
      <c r="O73" s="749"/>
      <c r="P73" s="749"/>
      <c r="Q73" s="749"/>
      <c r="R73" s="749"/>
      <c r="S73" s="749"/>
      <c r="T73" s="749"/>
      <c r="U73" s="749"/>
      <c r="V73" s="749"/>
      <c r="W73" s="749"/>
      <c r="X73" s="749"/>
      <c r="Y73" s="749"/>
      <c r="Z73" s="749"/>
      <c r="AA73" s="749"/>
      <c r="AB73" s="749"/>
      <c r="AC73" s="749"/>
      <c r="AD73" s="749"/>
      <c r="AE73" s="749"/>
      <c r="AF73" s="749"/>
      <c r="AG73" s="749"/>
      <c r="AH73" s="749"/>
      <c r="AI73" s="749"/>
      <c r="AJ73" s="749"/>
      <c r="AK73" s="749"/>
      <c r="AL73" s="749"/>
      <c r="AM73" s="756"/>
    </row>
    <row r="74" s="737" customFormat="1" ht="18" customHeight="1" spans="1:39">
      <c r="A74" s="741">
        <v>45393</v>
      </c>
      <c r="B74" s="742" t="s">
        <v>2370</v>
      </c>
      <c r="C74" s="743" t="s">
        <v>2463</v>
      </c>
      <c r="D74" s="743" t="s">
        <v>2433</v>
      </c>
      <c r="E74" s="743" t="s">
        <v>2442</v>
      </c>
      <c r="F74" s="743">
        <v>500</v>
      </c>
      <c r="G74" s="744" t="s">
        <v>2387</v>
      </c>
      <c r="H74" s="744" t="s">
        <v>2321</v>
      </c>
      <c r="I74" s="743" t="s">
        <v>2381</v>
      </c>
      <c r="J74" s="749"/>
      <c r="K74" s="749"/>
      <c r="L74" s="749"/>
      <c r="M74" s="749"/>
      <c r="N74" s="749"/>
      <c r="O74" s="749"/>
      <c r="P74" s="749"/>
      <c r="Q74" s="749"/>
      <c r="R74" s="749"/>
      <c r="S74" s="749"/>
      <c r="T74" s="749"/>
      <c r="U74" s="749"/>
      <c r="V74" s="749"/>
      <c r="W74" s="749"/>
      <c r="X74" s="749">
        <v>500</v>
      </c>
      <c r="Y74" s="749"/>
      <c r="Z74" s="749"/>
      <c r="AA74" s="749"/>
      <c r="AB74" s="749"/>
      <c r="AC74" s="749"/>
      <c r="AD74" s="749"/>
      <c r="AE74" s="749"/>
      <c r="AF74" s="749"/>
      <c r="AG74" s="749"/>
      <c r="AH74" s="749"/>
      <c r="AI74" s="749"/>
      <c r="AJ74" s="749"/>
      <c r="AK74" s="749"/>
      <c r="AL74" s="749"/>
      <c r="AM74" s="756"/>
    </row>
    <row r="75" s="737" customFormat="1" ht="18" customHeight="1" spans="1:39">
      <c r="A75" s="741">
        <v>45385</v>
      </c>
      <c r="B75" s="742" t="s">
        <v>2370</v>
      </c>
      <c r="C75" s="743">
        <v>1000019589</v>
      </c>
      <c r="D75" s="743" t="s">
        <v>2458</v>
      </c>
      <c r="E75" s="743" t="s">
        <v>2389</v>
      </c>
      <c r="F75" s="743">
        <v>5376</v>
      </c>
      <c r="G75" s="744" t="s">
        <v>2387</v>
      </c>
      <c r="H75" s="744"/>
      <c r="I75" s="743" t="s">
        <v>2381</v>
      </c>
      <c r="J75" s="749"/>
      <c r="K75" s="749"/>
      <c r="L75" s="749"/>
      <c r="M75" s="749"/>
      <c r="N75" s="749"/>
      <c r="O75" s="749"/>
      <c r="P75" s="749"/>
      <c r="Q75" s="749"/>
      <c r="R75" s="749"/>
      <c r="S75" s="749">
        <v>5376</v>
      </c>
      <c r="T75" s="749"/>
      <c r="U75" s="749"/>
      <c r="V75" s="749"/>
      <c r="W75" s="749"/>
      <c r="X75" s="749"/>
      <c r="Y75" s="749"/>
      <c r="Z75" s="749"/>
      <c r="AA75" s="749"/>
      <c r="AB75" s="749"/>
      <c r="AC75" s="749"/>
      <c r="AD75" s="749"/>
      <c r="AE75" s="749"/>
      <c r="AF75" s="749"/>
      <c r="AG75" s="749"/>
      <c r="AH75" s="749"/>
      <c r="AI75" s="749"/>
      <c r="AJ75" s="749"/>
      <c r="AK75" s="749"/>
      <c r="AL75" s="749"/>
      <c r="AM75" s="1305" t="s">
        <v>2459</v>
      </c>
    </row>
    <row r="76" s="737" customFormat="1" ht="18" customHeight="1" spans="1:39">
      <c r="A76" s="741">
        <v>45385</v>
      </c>
      <c r="B76" s="742" t="s">
        <v>2370</v>
      </c>
      <c r="C76" s="743">
        <v>1000019590</v>
      </c>
      <c r="D76" s="743" t="s">
        <v>2458</v>
      </c>
      <c r="E76" s="743">
        <v>77485</v>
      </c>
      <c r="F76" s="743">
        <v>64512</v>
      </c>
      <c r="G76" s="744" t="s">
        <v>2377</v>
      </c>
      <c r="H76" s="744"/>
      <c r="I76" s="743" t="s">
        <v>2384</v>
      </c>
      <c r="J76" s="749"/>
      <c r="K76" s="749"/>
      <c r="L76" s="749"/>
      <c r="M76" s="749"/>
      <c r="N76" s="749"/>
      <c r="O76" s="749">
        <v>64512</v>
      </c>
      <c r="P76" s="749"/>
      <c r="Q76" s="749"/>
      <c r="R76" s="749"/>
      <c r="S76" s="749"/>
      <c r="T76" s="749"/>
      <c r="U76" s="749"/>
      <c r="V76" s="749"/>
      <c r="W76" s="749"/>
      <c r="X76" s="749"/>
      <c r="Y76" s="749"/>
      <c r="Z76" s="749"/>
      <c r="AA76" s="749"/>
      <c r="AB76" s="749"/>
      <c r="AC76" s="749"/>
      <c r="AD76" s="749"/>
      <c r="AE76" s="749"/>
      <c r="AF76" s="749"/>
      <c r="AG76" s="749"/>
      <c r="AH76" s="749"/>
      <c r="AI76" s="749"/>
      <c r="AJ76" s="749"/>
      <c r="AK76" s="749"/>
      <c r="AL76" s="749"/>
      <c r="AM76" s="1305" t="s">
        <v>2459</v>
      </c>
    </row>
    <row r="77" s="737" customFormat="1" ht="18" customHeight="1" spans="1:39">
      <c r="A77" s="741">
        <v>45406</v>
      </c>
      <c r="B77" s="742" t="s">
        <v>2370</v>
      </c>
      <c r="C77" s="743" t="s">
        <v>2464</v>
      </c>
      <c r="D77" s="743" t="s">
        <v>2433</v>
      </c>
      <c r="E77" s="743">
        <v>77485</v>
      </c>
      <c r="F77" s="743">
        <v>50000</v>
      </c>
      <c r="G77" s="744" t="s">
        <v>2383</v>
      </c>
      <c r="H77" s="744" t="s">
        <v>2434</v>
      </c>
      <c r="I77" s="743" t="s">
        <v>2384</v>
      </c>
      <c r="J77" s="749"/>
      <c r="K77" s="749"/>
      <c r="L77" s="749"/>
      <c r="M77" s="749"/>
      <c r="N77" s="749">
        <v>50000</v>
      </c>
      <c r="O77" s="749"/>
      <c r="P77" s="749"/>
      <c r="Q77" s="749"/>
      <c r="R77" s="749"/>
      <c r="S77" s="749"/>
      <c r="T77" s="749"/>
      <c r="U77" s="749"/>
      <c r="V77" s="749"/>
      <c r="W77" s="749"/>
      <c r="X77" s="749"/>
      <c r="Y77" s="749"/>
      <c r="Z77" s="749"/>
      <c r="AA77" s="749"/>
      <c r="AB77" s="749"/>
      <c r="AC77" s="749"/>
      <c r="AD77" s="749"/>
      <c r="AE77" s="749"/>
      <c r="AF77" s="749"/>
      <c r="AG77" s="749"/>
      <c r="AH77" s="749"/>
      <c r="AI77" s="749"/>
      <c r="AJ77" s="749"/>
      <c r="AK77" s="749"/>
      <c r="AL77" s="749"/>
      <c r="AM77" s="756"/>
    </row>
    <row r="78" s="737" customFormat="1" ht="18" customHeight="1" spans="1:39">
      <c r="A78" s="741">
        <v>45406</v>
      </c>
      <c r="B78" s="742" t="s">
        <v>2370</v>
      </c>
      <c r="C78" s="743" t="s">
        <v>2465</v>
      </c>
      <c r="D78" s="743" t="s">
        <v>2433</v>
      </c>
      <c r="E78" s="743" t="s">
        <v>2439</v>
      </c>
      <c r="F78" s="743">
        <v>500</v>
      </c>
      <c r="G78" s="744" t="s">
        <v>2387</v>
      </c>
      <c r="H78" s="744" t="s">
        <v>2321</v>
      </c>
      <c r="I78" s="743" t="s">
        <v>2381</v>
      </c>
      <c r="J78" s="749"/>
      <c r="K78" s="749"/>
      <c r="L78" s="749"/>
      <c r="M78" s="749"/>
      <c r="N78" s="749"/>
      <c r="O78" s="749"/>
      <c r="P78" s="749"/>
      <c r="Q78" s="749"/>
      <c r="R78" s="749"/>
      <c r="S78" s="749"/>
      <c r="T78" s="749"/>
      <c r="U78" s="749"/>
      <c r="V78" s="749">
        <v>500</v>
      </c>
      <c r="W78" s="749"/>
      <c r="X78" s="749"/>
      <c r="Y78" s="749"/>
      <c r="Z78" s="749"/>
      <c r="AA78" s="749"/>
      <c r="AB78" s="749"/>
      <c r="AC78" s="749"/>
      <c r="AD78" s="749"/>
      <c r="AE78" s="749"/>
      <c r="AF78" s="749"/>
      <c r="AG78" s="749"/>
      <c r="AH78" s="749"/>
      <c r="AI78" s="749"/>
      <c r="AJ78" s="749"/>
      <c r="AK78" s="749"/>
      <c r="AL78" s="749"/>
      <c r="AM78" s="756"/>
    </row>
    <row r="79" s="737" customFormat="1" ht="18" customHeight="1" spans="1:39">
      <c r="A79" s="741">
        <v>45412</v>
      </c>
      <c r="B79" s="742" t="s">
        <v>2370</v>
      </c>
      <c r="C79" s="743" t="s">
        <v>2466</v>
      </c>
      <c r="D79" s="743" t="s">
        <v>2433</v>
      </c>
      <c r="E79" s="743">
        <v>77485</v>
      </c>
      <c r="F79" s="743">
        <v>60000</v>
      </c>
      <c r="G79" s="744" t="s">
        <v>2380</v>
      </c>
      <c r="H79" s="744" t="s">
        <v>2434</v>
      </c>
      <c r="I79" s="743" t="s">
        <v>2381</v>
      </c>
      <c r="J79" s="749">
        <v>60000</v>
      </c>
      <c r="K79" s="749"/>
      <c r="L79" s="749"/>
      <c r="M79" s="749"/>
      <c r="N79" s="749"/>
      <c r="O79" s="749"/>
      <c r="P79" s="749"/>
      <c r="Q79" s="749"/>
      <c r="R79" s="749"/>
      <c r="S79" s="749"/>
      <c r="T79" s="749"/>
      <c r="U79" s="749"/>
      <c r="V79" s="749"/>
      <c r="W79" s="749"/>
      <c r="X79" s="749"/>
      <c r="Y79" s="749"/>
      <c r="Z79" s="749"/>
      <c r="AA79" s="749"/>
      <c r="AB79" s="749"/>
      <c r="AC79" s="749"/>
      <c r="AD79" s="749"/>
      <c r="AE79" s="749"/>
      <c r="AF79" s="749"/>
      <c r="AG79" s="749"/>
      <c r="AH79" s="749"/>
      <c r="AI79" s="749"/>
      <c r="AJ79" s="749"/>
      <c r="AK79" s="749"/>
      <c r="AL79" s="749"/>
      <c r="AM79" s="756"/>
    </row>
    <row r="80" s="737" customFormat="1" ht="18" customHeight="1" spans="1:39">
      <c r="A80" s="741">
        <v>45412</v>
      </c>
      <c r="B80" s="742" t="s">
        <v>2370</v>
      </c>
      <c r="C80" s="743" t="s">
        <v>2467</v>
      </c>
      <c r="D80" s="743" t="s">
        <v>2433</v>
      </c>
      <c r="E80" s="743">
        <v>77485</v>
      </c>
      <c r="F80" s="743">
        <v>20000</v>
      </c>
      <c r="G80" s="744" t="s">
        <v>2380</v>
      </c>
      <c r="H80" s="744" t="s">
        <v>2434</v>
      </c>
      <c r="I80" s="743" t="s">
        <v>2393</v>
      </c>
      <c r="J80" s="749"/>
      <c r="K80" s="749"/>
      <c r="L80" s="749"/>
      <c r="M80" s="749">
        <v>20000</v>
      </c>
      <c r="N80" s="749"/>
      <c r="O80" s="749"/>
      <c r="P80" s="749"/>
      <c r="Q80" s="749"/>
      <c r="R80" s="749"/>
      <c r="S80" s="749"/>
      <c r="T80" s="749"/>
      <c r="U80" s="749"/>
      <c r="V80" s="749"/>
      <c r="W80" s="749"/>
      <c r="X80" s="749"/>
      <c r="Y80" s="749"/>
      <c r="Z80" s="749"/>
      <c r="AA80" s="749"/>
      <c r="AB80" s="749"/>
      <c r="AC80" s="749"/>
      <c r="AD80" s="749"/>
      <c r="AE80" s="749"/>
      <c r="AF80" s="749"/>
      <c r="AG80" s="749"/>
      <c r="AH80" s="749"/>
      <c r="AI80" s="749"/>
      <c r="AJ80" s="749"/>
      <c r="AK80" s="749"/>
      <c r="AL80" s="749"/>
      <c r="AM80" s="756"/>
    </row>
    <row r="81" s="737" customFormat="1" ht="18" customHeight="1" spans="1:39">
      <c r="A81" s="741">
        <v>45412</v>
      </c>
      <c r="B81" s="742" t="s">
        <v>2370</v>
      </c>
      <c r="C81" s="743">
        <v>1000020032</v>
      </c>
      <c r="D81" s="743" t="s">
        <v>2458</v>
      </c>
      <c r="E81" s="743">
        <v>77486</v>
      </c>
      <c r="F81" s="743">
        <v>10000</v>
      </c>
      <c r="G81" s="744" t="s">
        <v>2420</v>
      </c>
      <c r="H81" s="744"/>
      <c r="I81" s="743" t="s">
        <v>2454</v>
      </c>
      <c r="J81" s="749"/>
      <c r="K81" s="749"/>
      <c r="L81" s="749"/>
      <c r="M81" s="749"/>
      <c r="N81" s="749"/>
      <c r="O81" s="749"/>
      <c r="P81" s="749"/>
      <c r="Q81" s="749"/>
      <c r="R81" s="749"/>
      <c r="S81" s="749"/>
      <c r="T81" s="749"/>
      <c r="U81" s="749"/>
      <c r="V81" s="749"/>
      <c r="W81" s="749"/>
      <c r="X81" s="749"/>
      <c r="Y81" s="749"/>
      <c r="Z81" s="749"/>
      <c r="AA81" s="749"/>
      <c r="AB81" s="749"/>
      <c r="AC81" s="749"/>
      <c r="AD81" s="749"/>
      <c r="AE81" s="749"/>
      <c r="AF81" s="749">
        <v>10000</v>
      </c>
      <c r="AG81" s="749"/>
      <c r="AH81" s="749"/>
      <c r="AI81" s="749"/>
      <c r="AJ81" s="749"/>
      <c r="AK81" s="749"/>
      <c r="AL81" s="749"/>
      <c r="AM81" s="1305" t="s">
        <v>2468</v>
      </c>
    </row>
    <row r="82" s="737" customFormat="1" ht="18" customHeight="1" spans="1:39">
      <c r="A82" s="741">
        <v>45412</v>
      </c>
      <c r="B82" s="742" t="s">
        <v>2370</v>
      </c>
      <c r="C82" s="743">
        <v>1000020033</v>
      </c>
      <c r="D82" s="743" t="s">
        <v>2458</v>
      </c>
      <c r="E82" s="743">
        <v>77486</v>
      </c>
      <c r="F82" s="743">
        <v>10000</v>
      </c>
      <c r="G82" s="744" t="s">
        <v>2422</v>
      </c>
      <c r="H82" s="744"/>
      <c r="I82" s="743" t="s">
        <v>2393</v>
      </c>
      <c r="J82" s="749"/>
      <c r="K82" s="749"/>
      <c r="L82" s="749"/>
      <c r="M82" s="749"/>
      <c r="N82" s="749"/>
      <c r="O82" s="749"/>
      <c r="P82" s="749"/>
      <c r="Q82" s="749"/>
      <c r="R82" s="749"/>
      <c r="S82" s="749"/>
      <c r="T82" s="749"/>
      <c r="U82" s="749"/>
      <c r="V82" s="749"/>
      <c r="W82" s="749"/>
      <c r="X82" s="749"/>
      <c r="Y82" s="749"/>
      <c r="Z82" s="749"/>
      <c r="AA82" s="749"/>
      <c r="AB82" s="749"/>
      <c r="AC82" s="749"/>
      <c r="AD82" s="749"/>
      <c r="AE82" s="749"/>
      <c r="AF82" s="749"/>
      <c r="AG82" s="749">
        <v>10000</v>
      </c>
      <c r="AH82" s="749"/>
      <c r="AI82" s="749"/>
      <c r="AJ82" s="749"/>
      <c r="AK82" s="749"/>
      <c r="AL82" s="749"/>
      <c r="AM82" s="1305" t="s">
        <v>2468</v>
      </c>
    </row>
    <row r="83" s="737" customFormat="1" ht="18" customHeight="1" spans="1:39">
      <c r="A83" s="741">
        <v>45412</v>
      </c>
      <c r="B83" s="742" t="s">
        <v>2370</v>
      </c>
      <c r="C83" s="743">
        <v>1000020034</v>
      </c>
      <c r="D83" s="743" t="s">
        <v>2458</v>
      </c>
      <c r="E83" s="743">
        <v>77486</v>
      </c>
      <c r="F83" s="743">
        <v>10000</v>
      </c>
      <c r="G83" s="744" t="s">
        <v>2456</v>
      </c>
      <c r="H83" s="744"/>
      <c r="I83" s="743" t="s">
        <v>2454</v>
      </c>
      <c r="J83" s="749"/>
      <c r="K83" s="749"/>
      <c r="L83" s="749"/>
      <c r="M83" s="749"/>
      <c r="N83" s="749"/>
      <c r="O83" s="749"/>
      <c r="P83" s="749"/>
      <c r="Q83" s="749"/>
      <c r="R83" s="749"/>
      <c r="S83" s="749"/>
      <c r="T83" s="749"/>
      <c r="U83" s="749"/>
      <c r="V83" s="749"/>
      <c r="W83" s="749"/>
      <c r="X83" s="749"/>
      <c r="Y83" s="749"/>
      <c r="Z83" s="749"/>
      <c r="AA83" s="749"/>
      <c r="AB83" s="749"/>
      <c r="AC83" s="749"/>
      <c r="AD83" s="749"/>
      <c r="AE83" s="749"/>
      <c r="AF83" s="749"/>
      <c r="AG83" s="749"/>
      <c r="AH83" s="749">
        <v>10000</v>
      </c>
      <c r="AI83" s="749"/>
      <c r="AJ83" s="749"/>
      <c r="AK83" s="749"/>
      <c r="AL83" s="749"/>
      <c r="AM83" s="1305" t="s">
        <v>2468</v>
      </c>
    </row>
    <row r="84" s="737" customFormat="1" ht="18" customHeight="1" spans="1:39">
      <c r="A84" s="741">
        <v>45412</v>
      </c>
      <c r="B84" s="742" t="s">
        <v>2370</v>
      </c>
      <c r="C84" s="743">
        <v>1000020058</v>
      </c>
      <c r="D84" s="743" t="s">
        <v>2458</v>
      </c>
      <c r="E84" s="743" t="s">
        <v>2389</v>
      </c>
      <c r="F84" s="743">
        <v>686</v>
      </c>
      <c r="G84" s="744" t="s">
        <v>2387</v>
      </c>
      <c r="H84" s="744" t="s">
        <v>2434</v>
      </c>
      <c r="I84" s="743" t="s">
        <v>2381</v>
      </c>
      <c r="J84" s="749"/>
      <c r="K84" s="749"/>
      <c r="L84" s="749"/>
      <c r="M84" s="749"/>
      <c r="N84" s="749"/>
      <c r="O84" s="749"/>
      <c r="P84" s="749"/>
      <c r="Q84" s="749"/>
      <c r="R84" s="749"/>
      <c r="S84" s="749">
        <v>686</v>
      </c>
      <c r="T84" s="749"/>
      <c r="U84" s="749"/>
      <c r="V84" s="749"/>
      <c r="W84" s="749"/>
      <c r="X84" s="749"/>
      <c r="Y84" s="749"/>
      <c r="Z84" s="749"/>
      <c r="AA84" s="749"/>
      <c r="AB84" s="749"/>
      <c r="AC84" s="749"/>
      <c r="AD84" s="749"/>
      <c r="AE84" s="749"/>
      <c r="AF84" s="749"/>
      <c r="AG84" s="749"/>
      <c r="AH84" s="749"/>
      <c r="AI84" s="749"/>
      <c r="AJ84" s="749"/>
      <c r="AK84" s="749"/>
      <c r="AL84" s="749"/>
      <c r="AM84" s="1305" t="s">
        <v>2469</v>
      </c>
    </row>
    <row r="85" s="737" customFormat="1" ht="18" customHeight="1" spans="1:39">
      <c r="A85" s="741">
        <v>45378</v>
      </c>
      <c r="B85" s="742" t="s">
        <v>2370</v>
      </c>
      <c r="C85" s="743" t="s">
        <v>2470</v>
      </c>
      <c r="D85" s="743" t="s">
        <v>2433</v>
      </c>
      <c r="E85" s="743" t="s">
        <v>2442</v>
      </c>
      <c r="F85" s="743">
        <v>500</v>
      </c>
      <c r="G85" s="744" t="s">
        <v>2387</v>
      </c>
      <c r="H85" s="744" t="s">
        <v>2321</v>
      </c>
      <c r="I85" s="743" t="s">
        <v>2393</v>
      </c>
      <c r="J85" s="749"/>
      <c r="K85" s="749"/>
      <c r="L85" s="749"/>
      <c r="M85" s="749"/>
      <c r="N85" s="749"/>
      <c r="O85" s="749"/>
      <c r="P85" s="749"/>
      <c r="Q85" s="749"/>
      <c r="R85" s="749"/>
      <c r="S85" s="749"/>
      <c r="T85" s="749"/>
      <c r="U85" s="749"/>
      <c r="V85" s="749"/>
      <c r="W85" s="749"/>
      <c r="X85" s="749"/>
      <c r="Y85" s="749">
        <v>500</v>
      </c>
      <c r="Z85" s="749"/>
      <c r="AA85" s="749"/>
      <c r="AB85" s="749"/>
      <c r="AC85" s="749"/>
      <c r="AD85" s="749"/>
      <c r="AE85" s="749"/>
      <c r="AF85" s="749"/>
      <c r="AG85" s="749"/>
      <c r="AH85" s="749"/>
      <c r="AI85" s="749"/>
      <c r="AJ85" s="749"/>
      <c r="AK85" s="749"/>
      <c r="AL85" s="749"/>
      <c r="AM85" s="756" t="s">
        <v>2471</v>
      </c>
    </row>
    <row r="86" s="737" customFormat="1" ht="18" customHeight="1" spans="1:39">
      <c r="A86" s="741">
        <v>45423</v>
      </c>
      <c r="B86" s="742" t="s">
        <v>2370</v>
      </c>
      <c r="C86" s="743" t="s">
        <v>2472</v>
      </c>
      <c r="D86" s="743" t="s">
        <v>2433</v>
      </c>
      <c r="E86" s="743">
        <v>77485</v>
      </c>
      <c r="F86" s="743">
        <v>50000</v>
      </c>
      <c r="G86" s="744" t="s">
        <v>2383</v>
      </c>
      <c r="H86" s="744" t="s">
        <v>2434</v>
      </c>
      <c r="I86" s="743" t="s">
        <v>2384</v>
      </c>
      <c r="J86" s="749"/>
      <c r="K86" s="749"/>
      <c r="L86" s="749"/>
      <c r="M86" s="749"/>
      <c r="N86" s="749">
        <v>50000</v>
      </c>
      <c r="O86" s="749"/>
      <c r="P86" s="749"/>
      <c r="Q86" s="749"/>
      <c r="R86" s="749"/>
      <c r="S86" s="749"/>
      <c r="T86" s="749"/>
      <c r="U86" s="749"/>
      <c r="V86" s="749"/>
      <c r="W86" s="749"/>
      <c r="X86" s="749"/>
      <c r="Y86" s="749"/>
      <c r="Z86" s="749"/>
      <c r="AA86" s="749"/>
      <c r="AB86" s="749"/>
      <c r="AC86" s="749"/>
      <c r="AD86" s="749"/>
      <c r="AE86" s="749"/>
      <c r="AF86" s="749"/>
      <c r="AG86" s="749"/>
      <c r="AH86" s="749"/>
      <c r="AI86" s="749"/>
      <c r="AJ86" s="749"/>
      <c r="AK86" s="749"/>
      <c r="AL86" s="749"/>
      <c r="AM86" s="756"/>
    </row>
    <row r="87" s="737" customFormat="1" ht="18" customHeight="1" spans="1:39">
      <c r="A87" s="741">
        <v>45423</v>
      </c>
      <c r="B87" s="742" t="s">
        <v>2370</v>
      </c>
      <c r="C87" s="743" t="s">
        <v>2473</v>
      </c>
      <c r="D87" s="743" t="s">
        <v>2433</v>
      </c>
      <c r="E87" s="743" t="s">
        <v>2439</v>
      </c>
      <c r="F87" s="743">
        <v>1000</v>
      </c>
      <c r="G87" s="744" t="s">
        <v>2387</v>
      </c>
      <c r="H87" s="744" t="s">
        <v>2321</v>
      </c>
      <c r="I87" s="743" t="s">
        <v>2381</v>
      </c>
      <c r="J87" s="749"/>
      <c r="K87" s="749"/>
      <c r="L87" s="749"/>
      <c r="M87" s="749"/>
      <c r="N87" s="749"/>
      <c r="O87" s="749"/>
      <c r="P87" s="749"/>
      <c r="Q87" s="749"/>
      <c r="R87" s="749"/>
      <c r="S87" s="749"/>
      <c r="T87" s="749"/>
      <c r="U87" s="749"/>
      <c r="V87" s="749">
        <v>1000</v>
      </c>
      <c r="W87" s="749"/>
      <c r="X87" s="749"/>
      <c r="Y87" s="749"/>
      <c r="Z87" s="749"/>
      <c r="AA87" s="749"/>
      <c r="AB87" s="749"/>
      <c r="AC87" s="749"/>
      <c r="AD87" s="749"/>
      <c r="AE87" s="749"/>
      <c r="AF87" s="749"/>
      <c r="AG87" s="749"/>
      <c r="AH87" s="749"/>
      <c r="AI87" s="749"/>
      <c r="AJ87" s="749"/>
      <c r="AK87" s="749"/>
      <c r="AL87" s="749"/>
      <c r="AM87" s="756"/>
    </row>
    <row r="88" s="737" customFormat="1" ht="18" customHeight="1" spans="1:39">
      <c r="A88" s="741">
        <v>45423</v>
      </c>
      <c r="B88" s="742" t="s">
        <v>2370</v>
      </c>
      <c r="C88" s="743" t="s">
        <v>2474</v>
      </c>
      <c r="D88" s="743" t="s">
        <v>2433</v>
      </c>
      <c r="E88" s="743" t="s">
        <v>2439</v>
      </c>
      <c r="F88" s="743">
        <v>500</v>
      </c>
      <c r="G88" s="744" t="s">
        <v>2387</v>
      </c>
      <c r="H88" s="744" t="s">
        <v>2321</v>
      </c>
      <c r="I88" s="743" t="s">
        <v>2393</v>
      </c>
      <c r="J88" s="749"/>
      <c r="K88" s="749"/>
      <c r="L88" s="749"/>
      <c r="M88" s="749"/>
      <c r="N88" s="749"/>
      <c r="O88" s="749"/>
      <c r="P88" s="749"/>
      <c r="Q88" s="749"/>
      <c r="R88" s="749"/>
      <c r="S88" s="749"/>
      <c r="T88" s="749"/>
      <c r="U88" s="749"/>
      <c r="V88" s="749"/>
      <c r="W88" s="749">
        <v>500</v>
      </c>
      <c r="X88" s="749"/>
      <c r="Y88" s="749"/>
      <c r="Z88" s="749"/>
      <c r="AA88" s="749"/>
      <c r="AB88" s="749"/>
      <c r="AC88" s="749"/>
      <c r="AD88" s="749"/>
      <c r="AE88" s="749"/>
      <c r="AF88" s="749"/>
      <c r="AG88" s="749"/>
      <c r="AH88" s="749"/>
      <c r="AI88" s="749"/>
      <c r="AJ88" s="749"/>
      <c r="AK88" s="749"/>
      <c r="AL88" s="749"/>
      <c r="AM88" s="756"/>
    </row>
    <row r="89" s="737" customFormat="1" ht="18" customHeight="1" spans="1:39">
      <c r="A89" s="741">
        <v>45423</v>
      </c>
      <c r="B89" s="742" t="s">
        <v>2370</v>
      </c>
      <c r="C89" s="743" t="s">
        <v>2475</v>
      </c>
      <c r="D89" s="743" t="s">
        <v>2433</v>
      </c>
      <c r="E89" s="743" t="s">
        <v>2442</v>
      </c>
      <c r="F89" s="743">
        <v>500</v>
      </c>
      <c r="G89" s="744" t="s">
        <v>2387</v>
      </c>
      <c r="H89" s="744" t="s">
        <v>2321</v>
      </c>
      <c r="I89" s="743" t="s">
        <v>2381</v>
      </c>
      <c r="J89" s="749"/>
      <c r="K89" s="749"/>
      <c r="L89" s="749"/>
      <c r="M89" s="749"/>
      <c r="N89" s="749"/>
      <c r="O89" s="749"/>
      <c r="P89" s="749"/>
      <c r="Q89" s="749"/>
      <c r="R89" s="749"/>
      <c r="S89" s="749"/>
      <c r="T89" s="749"/>
      <c r="U89" s="749"/>
      <c r="V89" s="749"/>
      <c r="W89" s="749"/>
      <c r="X89" s="749">
        <v>500</v>
      </c>
      <c r="Y89" s="749"/>
      <c r="Z89" s="749"/>
      <c r="AA89" s="749"/>
      <c r="AB89" s="749"/>
      <c r="AC89" s="749"/>
      <c r="AD89" s="749"/>
      <c r="AE89" s="749"/>
      <c r="AF89" s="749"/>
      <c r="AG89" s="749"/>
      <c r="AH89" s="749"/>
      <c r="AI89" s="749"/>
      <c r="AJ89" s="749"/>
      <c r="AK89" s="749"/>
      <c r="AL89" s="749"/>
      <c r="AM89" s="756"/>
    </row>
    <row r="90" s="737" customFormat="1" ht="18" customHeight="1" spans="1:39">
      <c r="A90" s="741">
        <v>45423</v>
      </c>
      <c r="B90" s="742" t="s">
        <v>2370</v>
      </c>
      <c r="C90" s="743" t="s">
        <v>2476</v>
      </c>
      <c r="D90" s="743" t="s">
        <v>2433</v>
      </c>
      <c r="E90" s="743" t="s">
        <v>2442</v>
      </c>
      <c r="F90" s="743">
        <v>500</v>
      </c>
      <c r="G90" s="744" t="s">
        <v>2387</v>
      </c>
      <c r="H90" s="744" t="s">
        <v>2321</v>
      </c>
      <c r="I90" s="743" t="s">
        <v>2393</v>
      </c>
      <c r="J90" s="749"/>
      <c r="K90" s="749"/>
      <c r="L90" s="749"/>
      <c r="M90" s="749"/>
      <c r="N90" s="749"/>
      <c r="O90" s="749"/>
      <c r="P90" s="749"/>
      <c r="Q90" s="749"/>
      <c r="R90" s="749"/>
      <c r="S90" s="749"/>
      <c r="T90" s="749"/>
      <c r="U90" s="749"/>
      <c r="V90" s="749"/>
      <c r="W90" s="749"/>
      <c r="X90" s="749"/>
      <c r="Y90" s="749">
        <v>500</v>
      </c>
      <c r="Z90" s="749"/>
      <c r="AA90" s="749"/>
      <c r="AB90" s="749"/>
      <c r="AC90" s="749"/>
      <c r="AD90" s="749"/>
      <c r="AE90" s="749"/>
      <c r="AF90" s="749"/>
      <c r="AG90" s="749"/>
      <c r="AH90" s="749"/>
      <c r="AI90" s="749"/>
      <c r="AJ90" s="749"/>
      <c r="AK90" s="749"/>
      <c r="AL90" s="749"/>
      <c r="AM90" s="756"/>
    </row>
    <row r="91" s="737" customFormat="1" ht="18" customHeight="1" spans="1:39">
      <c r="A91" s="741"/>
      <c r="B91" s="742"/>
      <c r="C91" s="743"/>
      <c r="D91" s="743" t="s">
        <v>2452</v>
      </c>
      <c r="E91" s="743" t="s">
        <v>2389</v>
      </c>
      <c r="F91" s="743">
        <v>6200</v>
      </c>
      <c r="G91" s="744" t="s">
        <v>2387</v>
      </c>
      <c r="H91" s="744" t="s">
        <v>2321</v>
      </c>
      <c r="I91" s="743" t="s">
        <v>2381</v>
      </c>
      <c r="J91" s="749"/>
      <c r="K91" s="749"/>
      <c r="L91" s="749"/>
      <c r="M91" s="749"/>
      <c r="N91" s="749"/>
      <c r="O91" s="749"/>
      <c r="P91" s="749"/>
      <c r="Q91" s="749"/>
      <c r="R91" s="749">
        <v>6200</v>
      </c>
      <c r="S91" s="749"/>
      <c r="T91" s="749"/>
      <c r="U91" s="749"/>
      <c r="V91" s="749"/>
      <c r="W91" s="749"/>
      <c r="X91" s="749"/>
      <c r="Y91" s="749"/>
      <c r="Z91" s="749"/>
      <c r="AA91" s="749"/>
      <c r="AB91" s="749"/>
      <c r="AC91" s="749"/>
      <c r="AD91" s="749"/>
      <c r="AE91" s="749"/>
      <c r="AF91" s="749"/>
      <c r="AG91" s="749"/>
      <c r="AH91" s="749"/>
      <c r="AI91" s="749"/>
      <c r="AJ91" s="749"/>
      <c r="AK91" s="749"/>
      <c r="AL91" s="749"/>
      <c r="AM91" s="756"/>
    </row>
    <row r="92" s="737" customFormat="1" ht="18" customHeight="1" spans="1:39">
      <c r="A92" s="741"/>
      <c r="B92" s="742"/>
      <c r="C92" s="743"/>
      <c r="D92" s="743" t="s">
        <v>2452</v>
      </c>
      <c r="E92" s="743" t="s">
        <v>2389</v>
      </c>
      <c r="F92" s="743">
        <v>300</v>
      </c>
      <c r="G92" s="744" t="s">
        <v>2387</v>
      </c>
      <c r="H92" s="744" t="s">
        <v>2321</v>
      </c>
      <c r="I92" s="743" t="s">
        <v>2393</v>
      </c>
      <c r="J92" s="749"/>
      <c r="K92" s="749"/>
      <c r="L92" s="749"/>
      <c r="M92" s="749"/>
      <c r="N92" s="749"/>
      <c r="O92" s="749"/>
      <c r="P92" s="749"/>
      <c r="Q92" s="749"/>
      <c r="R92" s="749"/>
      <c r="S92" s="749"/>
      <c r="T92" s="749">
        <v>300</v>
      </c>
      <c r="U92" s="749"/>
      <c r="V92" s="749"/>
      <c r="W92" s="749"/>
      <c r="X92" s="749"/>
      <c r="Y92" s="749"/>
      <c r="Z92" s="749"/>
      <c r="AA92" s="749"/>
      <c r="AB92" s="749"/>
      <c r="AC92" s="749"/>
      <c r="AD92" s="749"/>
      <c r="AE92" s="749"/>
      <c r="AF92" s="749"/>
      <c r="AG92" s="749"/>
      <c r="AH92" s="749"/>
      <c r="AI92" s="749"/>
      <c r="AJ92" s="749"/>
      <c r="AK92" s="749"/>
      <c r="AL92" s="749"/>
      <c r="AM92" s="756"/>
    </row>
    <row r="93" s="737" customFormat="1" ht="18" customHeight="1" spans="1:39">
      <c r="A93" s="741">
        <v>45446</v>
      </c>
      <c r="B93" s="742" t="s">
        <v>2370</v>
      </c>
      <c r="C93" s="743" t="s">
        <v>2477</v>
      </c>
      <c r="D93" s="743" t="s">
        <v>2433</v>
      </c>
      <c r="E93" s="743">
        <v>77485</v>
      </c>
      <c r="F93" s="743">
        <v>50000</v>
      </c>
      <c r="G93" s="744" t="s">
        <v>2380</v>
      </c>
      <c r="H93" s="744" t="s">
        <v>2434</v>
      </c>
      <c r="I93" s="743" t="s">
        <v>2381</v>
      </c>
      <c r="J93" s="749">
        <v>50000</v>
      </c>
      <c r="K93" s="749"/>
      <c r="L93" s="749"/>
      <c r="M93" s="749"/>
      <c r="N93" s="749"/>
      <c r="O93" s="749"/>
      <c r="P93" s="749"/>
      <c r="Q93" s="749"/>
      <c r="R93" s="749"/>
      <c r="S93" s="749"/>
      <c r="T93" s="749"/>
      <c r="U93" s="749"/>
      <c r="V93" s="749"/>
      <c r="W93" s="749"/>
      <c r="X93" s="749"/>
      <c r="Y93" s="749"/>
      <c r="Z93" s="749"/>
      <c r="AA93" s="749"/>
      <c r="AB93" s="749"/>
      <c r="AC93" s="749"/>
      <c r="AD93" s="749"/>
      <c r="AE93" s="749"/>
      <c r="AF93" s="749"/>
      <c r="AG93" s="749"/>
      <c r="AH93" s="749"/>
      <c r="AI93" s="749"/>
      <c r="AJ93" s="749"/>
      <c r="AK93" s="749"/>
      <c r="AL93" s="749"/>
      <c r="AM93" s="756"/>
    </row>
    <row r="94" s="737" customFormat="1" ht="18" customHeight="1" spans="1:39">
      <c r="A94" s="741">
        <v>45446</v>
      </c>
      <c r="B94" s="742" t="s">
        <v>2370</v>
      </c>
      <c r="C94" s="743" t="s">
        <v>2478</v>
      </c>
      <c r="D94" s="743" t="s">
        <v>2433</v>
      </c>
      <c r="E94" s="743">
        <v>77485</v>
      </c>
      <c r="F94" s="743">
        <v>30000</v>
      </c>
      <c r="G94" s="744" t="s">
        <v>2380</v>
      </c>
      <c r="H94" s="744" t="s">
        <v>2434</v>
      </c>
      <c r="I94" s="743" t="s">
        <v>2393</v>
      </c>
      <c r="J94" s="749"/>
      <c r="K94" s="749"/>
      <c r="L94" s="749"/>
      <c r="M94" s="749">
        <v>30000</v>
      </c>
      <c r="N94" s="749"/>
      <c r="O94" s="749"/>
      <c r="P94" s="749"/>
      <c r="Q94" s="749"/>
      <c r="R94" s="749"/>
      <c r="S94" s="749"/>
      <c r="T94" s="749"/>
      <c r="U94" s="749"/>
      <c r="V94" s="749"/>
      <c r="W94" s="749"/>
      <c r="X94" s="749"/>
      <c r="Y94" s="749"/>
      <c r="Z94" s="749"/>
      <c r="AA94" s="749"/>
      <c r="AB94" s="749"/>
      <c r="AC94" s="749"/>
      <c r="AD94" s="749"/>
      <c r="AE94" s="749"/>
      <c r="AF94" s="749"/>
      <c r="AG94" s="749"/>
      <c r="AH94" s="749"/>
      <c r="AI94" s="749"/>
      <c r="AJ94" s="749"/>
      <c r="AK94" s="749"/>
      <c r="AL94" s="749"/>
      <c r="AM94" s="756"/>
    </row>
    <row r="95" s="737" customFormat="1" ht="18" customHeight="1" spans="1:39">
      <c r="A95" s="741">
        <v>45446</v>
      </c>
      <c r="B95" s="742" t="s">
        <v>2370</v>
      </c>
      <c r="C95" s="743" t="s">
        <v>2479</v>
      </c>
      <c r="D95" s="743" t="s">
        <v>2433</v>
      </c>
      <c r="E95" s="743">
        <v>77485</v>
      </c>
      <c r="F95" s="743">
        <v>100000</v>
      </c>
      <c r="G95" s="744" t="s">
        <v>2377</v>
      </c>
      <c r="H95" s="744" t="s">
        <v>2437</v>
      </c>
      <c r="I95" s="743" t="s">
        <v>2384</v>
      </c>
      <c r="J95" s="749"/>
      <c r="K95" s="749"/>
      <c r="L95" s="749"/>
      <c r="M95" s="749"/>
      <c r="N95" s="749">
        <v>100000</v>
      </c>
      <c r="O95" s="749"/>
      <c r="P95" s="749"/>
      <c r="Q95" s="749"/>
      <c r="R95" s="749"/>
      <c r="S95" s="749"/>
      <c r="T95" s="749"/>
      <c r="U95" s="749"/>
      <c r="V95" s="749"/>
      <c r="W95" s="749"/>
      <c r="X95" s="749"/>
      <c r="Y95" s="749"/>
      <c r="Z95" s="749"/>
      <c r="AA95" s="749"/>
      <c r="AB95" s="749"/>
      <c r="AC95" s="749"/>
      <c r="AD95" s="749"/>
      <c r="AE95" s="749"/>
      <c r="AF95" s="749"/>
      <c r="AG95" s="749"/>
      <c r="AH95" s="749"/>
      <c r="AI95" s="749"/>
      <c r="AJ95" s="749"/>
      <c r="AK95" s="749"/>
      <c r="AL95" s="749"/>
      <c r="AM95" s="756" t="s">
        <v>2435</v>
      </c>
    </row>
    <row r="96" s="737" customFormat="1" ht="18" customHeight="1" spans="1:39">
      <c r="A96" s="741">
        <v>45446</v>
      </c>
      <c r="B96" s="742" t="s">
        <v>2370</v>
      </c>
      <c r="C96" s="743" t="s">
        <v>2480</v>
      </c>
      <c r="D96" s="743" t="s">
        <v>2433</v>
      </c>
      <c r="E96" s="743" t="s">
        <v>2439</v>
      </c>
      <c r="F96" s="743">
        <v>700</v>
      </c>
      <c r="G96" s="744" t="s">
        <v>2387</v>
      </c>
      <c r="H96" s="744" t="s">
        <v>2321</v>
      </c>
      <c r="I96" s="743" t="s">
        <v>2393</v>
      </c>
      <c r="J96" s="749"/>
      <c r="K96" s="749"/>
      <c r="L96" s="749"/>
      <c r="M96" s="749"/>
      <c r="N96" s="749"/>
      <c r="O96" s="749"/>
      <c r="P96" s="749"/>
      <c r="Q96" s="749"/>
      <c r="R96" s="749"/>
      <c r="S96" s="749"/>
      <c r="T96" s="749"/>
      <c r="U96" s="749"/>
      <c r="V96" s="749"/>
      <c r="W96" s="749">
        <v>700</v>
      </c>
      <c r="X96" s="749"/>
      <c r="Y96" s="749"/>
      <c r="Z96" s="749"/>
      <c r="AA96" s="749"/>
      <c r="AB96" s="749"/>
      <c r="AC96" s="749"/>
      <c r="AD96" s="749"/>
      <c r="AE96" s="749"/>
      <c r="AF96" s="749"/>
      <c r="AG96" s="749"/>
      <c r="AH96" s="749"/>
      <c r="AI96" s="749"/>
      <c r="AJ96" s="749"/>
      <c r="AK96" s="749"/>
      <c r="AL96" s="749"/>
      <c r="AM96" s="756"/>
    </row>
    <row r="97" s="737" customFormat="1" ht="18" customHeight="1" spans="1:39">
      <c r="A97" s="741">
        <v>45446</v>
      </c>
      <c r="B97" s="742" t="s">
        <v>2370</v>
      </c>
      <c r="C97" s="743" t="s">
        <v>2481</v>
      </c>
      <c r="D97" s="743" t="s">
        <v>2433</v>
      </c>
      <c r="E97" s="743" t="s">
        <v>2442</v>
      </c>
      <c r="F97" s="743">
        <v>1000</v>
      </c>
      <c r="G97" s="744" t="s">
        <v>2387</v>
      </c>
      <c r="H97" s="744" t="s">
        <v>2321</v>
      </c>
      <c r="I97" s="743" t="s">
        <v>2393</v>
      </c>
      <c r="J97" s="749"/>
      <c r="K97" s="749"/>
      <c r="L97" s="749"/>
      <c r="M97" s="749"/>
      <c r="N97" s="749"/>
      <c r="O97" s="749"/>
      <c r="P97" s="749"/>
      <c r="Q97" s="749"/>
      <c r="R97" s="749"/>
      <c r="S97" s="749"/>
      <c r="T97" s="749"/>
      <c r="U97" s="749"/>
      <c r="V97" s="749"/>
      <c r="W97" s="749"/>
      <c r="X97" s="749"/>
      <c r="Y97" s="749">
        <v>1000</v>
      </c>
      <c r="Z97" s="749"/>
      <c r="AA97" s="749"/>
      <c r="AB97" s="749"/>
      <c r="AC97" s="749"/>
      <c r="AD97" s="749"/>
      <c r="AE97" s="749"/>
      <c r="AF97" s="749"/>
      <c r="AG97" s="749"/>
      <c r="AH97" s="749"/>
      <c r="AI97" s="749"/>
      <c r="AJ97" s="749"/>
      <c r="AK97" s="749"/>
      <c r="AL97" s="749"/>
      <c r="AM97" s="756"/>
    </row>
    <row r="98" s="737" customFormat="1" ht="18" customHeight="1" spans="1:39">
      <c r="A98" s="741">
        <v>45467</v>
      </c>
      <c r="B98" s="742" t="s">
        <v>2370</v>
      </c>
      <c r="C98" s="743" t="s">
        <v>2482</v>
      </c>
      <c r="D98" s="743" t="s">
        <v>2379</v>
      </c>
      <c r="E98" s="743">
        <v>77485</v>
      </c>
      <c r="F98" s="743">
        <v>80000</v>
      </c>
      <c r="G98" s="744" t="s">
        <v>2380</v>
      </c>
      <c r="H98" s="744" t="s">
        <v>2434</v>
      </c>
      <c r="I98" s="743" t="s">
        <v>2381</v>
      </c>
      <c r="J98" s="749">
        <v>80000</v>
      </c>
      <c r="K98" s="749"/>
      <c r="L98" s="749"/>
      <c r="M98" s="749"/>
      <c r="N98" s="749"/>
      <c r="O98" s="749"/>
      <c r="P98" s="749"/>
      <c r="Q98" s="749"/>
      <c r="R98" s="749"/>
      <c r="S98" s="749"/>
      <c r="T98" s="749"/>
      <c r="U98" s="749"/>
      <c r="V98" s="749"/>
      <c r="W98" s="749"/>
      <c r="X98" s="749"/>
      <c r="Y98" s="749"/>
      <c r="Z98" s="749"/>
      <c r="AA98" s="749"/>
      <c r="AB98" s="749"/>
      <c r="AC98" s="749"/>
      <c r="AD98" s="749"/>
      <c r="AE98" s="749"/>
      <c r="AF98" s="749"/>
      <c r="AG98" s="749"/>
      <c r="AH98" s="749"/>
      <c r="AI98" s="749"/>
      <c r="AJ98" s="749"/>
      <c r="AK98" s="749"/>
      <c r="AL98" s="749"/>
      <c r="AM98" s="756"/>
    </row>
    <row r="99" s="737" customFormat="1" ht="18" customHeight="1" spans="1:39">
      <c r="A99" s="741">
        <v>45467</v>
      </c>
      <c r="B99" s="742" t="s">
        <v>2370</v>
      </c>
      <c r="C99" s="743" t="s">
        <v>2483</v>
      </c>
      <c r="D99" s="743" t="s">
        <v>2379</v>
      </c>
      <c r="E99" s="743">
        <v>77485</v>
      </c>
      <c r="F99" s="743">
        <v>70000</v>
      </c>
      <c r="G99" s="744" t="s">
        <v>2383</v>
      </c>
      <c r="H99" s="744" t="s">
        <v>2437</v>
      </c>
      <c r="I99" s="743" t="s">
        <v>2384</v>
      </c>
      <c r="J99" s="749"/>
      <c r="K99" s="749"/>
      <c r="L99" s="749"/>
      <c r="M99" s="749"/>
      <c r="N99" s="749">
        <v>70000</v>
      </c>
      <c r="O99" s="749"/>
      <c r="P99" s="749"/>
      <c r="Q99" s="749"/>
      <c r="R99" s="749"/>
      <c r="S99" s="749"/>
      <c r="T99" s="749"/>
      <c r="U99" s="749"/>
      <c r="V99" s="749"/>
      <c r="W99" s="749"/>
      <c r="X99" s="749"/>
      <c r="Y99" s="749"/>
      <c r="Z99" s="749"/>
      <c r="AA99" s="749"/>
      <c r="AB99" s="749"/>
      <c r="AC99" s="749"/>
      <c r="AD99" s="749"/>
      <c r="AE99" s="749"/>
      <c r="AF99" s="749"/>
      <c r="AG99" s="749"/>
      <c r="AH99" s="749"/>
      <c r="AI99" s="749"/>
      <c r="AJ99" s="749"/>
      <c r="AK99" s="749"/>
      <c r="AL99" s="749"/>
      <c r="AM99" s="756"/>
    </row>
    <row r="100" s="737" customFormat="1" ht="18" customHeight="1" spans="1:39">
      <c r="A100" s="741">
        <v>45467</v>
      </c>
      <c r="B100" s="742" t="s">
        <v>2370</v>
      </c>
      <c r="C100" s="743" t="s">
        <v>2484</v>
      </c>
      <c r="D100" s="743" t="s">
        <v>2379</v>
      </c>
      <c r="E100" s="743" t="s">
        <v>2372</v>
      </c>
      <c r="F100" s="743">
        <v>300</v>
      </c>
      <c r="G100" s="744" t="s">
        <v>2373</v>
      </c>
      <c r="H100" s="744" t="s">
        <v>2321</v>
      </c>
      <c r="I100" s="743" t="s">
        <v>2393</v>
      </c>
      <c r="J100" s="749"/>
      <c r="K100" s="749"/>
      <c r="L100" s="749"/>
      <c r="M100" s="749"/>
      <c r="N100" s="749"/>
      <c r="O100" s="749"/>
      <c r="P100" s="749"/>
      <c r="Q100" s="749"/>
      <c r="R100" s="749"/>
      <c r="S100" s="749"/>
      <c r="T100" s="749"/>
      <c r="U100" s="749"/>
      <c r="V100" s="749"/>
      <c r="W100" s="749"/>
      <c r="X100" s="749"/>
      <c r="Y100" s="749"/>
      <c r="Z100" s="749"/>
      <c r="AA100" s="749"/>
      <c r="AB100" s="749">
        <v>300</v>
      </c>
      <c r="AC100" s="749"/>
      <c r="AD100" s="749"/>
      <c r="AE100" s="749"/>
      <c r="AF100" s="749"/>
      <c r="AG100" s="749"/>
      <c r="AH100" s="749"/>
      <c r="AI100" s="749"/>
      <c r="AJ100" s="749"/>
      <c r="AK100" s="749"/>
      <c r="AL100" s="749"/>
      <c r="AM100" s="756"/>
    </row>
    <row r="101" s="737" customFormat="1" ht="18" customHeight="1" spans="1:39">
      <c r="A101" s="741">
        <v>45470</v>
      </c>
      <c r="B101" s="742" t="s">
        <v>2370</v>
      </c>
      <c r="C101" s="743">
        <v>1000021371</v>
      </c>
      <c r="D101" s="743" t="s">
        <v>2485</v>
      </c>
      <c r="E101" s="743" t="s">
        <v>2424</v>
      </c>
      <c r="F101" s="743">
        <v>25560</v>
      </c>
      <c r="G101" s="744" t="s">
        <v>2486</v>
      </c>
      <c r="H101" s="744"/>
      <c r="I101" s="743" t="s">
        <v>2381</v>
      </c>
      <c r="J101" s="749"/>
      <c r="K101" s="749">
        <v>25560</v>
      </c>
      <c r="L101" s="749"/>
      <c r="M101" s="749"/>
      <c r="N101" s="749"/>
      <c r="O101" s="749"/>
      <c r="P101" s="749"/>
      <c r="Q101" s="749"/>
      <c r="R101" s="749"/>
      <c r="S101" s="749"/>
      <c r="T101" s="749"/>
      <c r="U101" s="749"/>
      <c r="V101" s="749"/>
      <c r="W101" s="749"/>
      <c r="X101" s="749"/>
      <c r="Y101" s="749"/>
      <c r="Z101" s="749"/>
      <c r="AA101" s="749"/>
      <c r="AB101" s="749"/>
      <c r="AC101" s="749"/>
      <c r="AD101" s="749"/>
      <c r="AE101" s="749"/>
      <c r="AF101" s="749"/>
      <c r="AG101" s="749"/>
      <c r="AH101" s="749"/>
      <c r="AI101" s="749"/>
      <c r="AJ101" s="749"/>
      <c r="AK101" s="749"/>
      <c r="AL101" s="749"/>
      <c r="AM101" s="1305" t="s">
        <v>2487</v>
      </c>
    </row>
    <row r="102" s="737" customFormat="1" ht="18" customHeight="1" spans="1:39">
      <c r="A102" s="741">
        <v>45470</v>
      </c>
      <c r="B102" s="742" t="s">
        <v>2370</v>
      </c>
      <c r="C102" s="743">
        <v>1000021372</v>
      </c>
      <c r="D102" s="743" t="s">
        <v>2485</v>
      </c>
      <c r="E102" s="743">
        <v>77486</v>
      </c>
      <c r="F102" s="743">
        <v>12780</v>
      </c>
      <c r="G102" s="744" t="s">
        <v>2420</v>
      </c>
      <c r="H102" s="744"/>
      <c r="I102" s="743" t="s">
        <v>2454</v>
      </c>
      <c r="J102" s="749"/>
      <c r="K102" s="749"/>
      <c r="L102" s="749"/>
      <c r="M102" s="749"/>
      <c r="N102" s="749"/>
      <c r="O102" s="749"/>
      <c r="P102" s="749"/>
      <c r="Q102" s="749"/>
      <c r="R102" s="749"/>
      <c r="S102" s="749"/>
      <c r="T102" s="749"/>
      <c r="U102" s="749"/>
      <c r="V102" s="749"/>
      <c r="W102" s="749"/>
      <c r="X102" s="749"/>
      <c r="Y102" s="749"/>
      <c r="Z102" s="749"/>
      <c r="AA102" s="749"/>
      <c r="AB102" s="749"/>
      <c r="AC102" s="749"/>
      <c r="AD102" s="749"/>
      <c r="AE102" s="749"/>
      <c r="AF102" s="749">
        <v>12780</v>
      </c>
      <c r="AG102" s="749"/>
      <c r="AH102" s="749"/>
      <c r="AI102" s="749"/>
      <c r="AJ102" s="749"/>
      <c r="AK102" s="749"/>
      <c r="AL102" s="749"/>
      <c r="AM102" s="1305" t="s">
        <v>2487</v>
      </c>
    </row>
    <row r="103" s="737" customFormat="1" ht="18" customHeight="1" spans="1:39">
      <c r="A103" s="741">
        <v>45470</v>
      </c>
      <c r="B103" s="742" t="s">
        <v>2370</v>
      </c>
      <c r="C103" s="743">
        <v>1000021373</v>
      </c>
      <c r="D103" s="743" t="s">
        <v>2485</v>
      </c>
      <c r="E103" s="743">
        <v>77486</v>
      </c>
      <c r="F103" s="743">
        <v>12780</v>
      </c>
      <c r="G103" s="744" t="s">
        <v>2422</v>
      </c>
      <c r="H103" s="744"/>
      <c r="I103" s="743" t="s">
        <v>2393</v>
      </c>
      <c r="J103" s="749"/>
      <c r="K103" s="749"/>
      <c r="L103" s="749"/>
      <c r="M103" s="749"/>
      <c r="N103" s="749"/>
      <c r="O103" s="749"/>
      <c r="P103" s="749"/>
      <c r="Q103" s="749"/>
      <c r="R103" s="749"/>
      <c r="S103" s="749"/>
      <c r="T103" s="749"/>
      <c r="U103" s="749"/>
      <c r="V103" s="749"/>
      <c r="W103" s="749"/>
      <c r="X103" s="749"/>
      <c r="Y103" s="749"/>
      <c r="Z103" s="749"/>
      <c r="AA103" s="749"/>
      <c r="AB103" s="749"/>
      <c r="AC103" s="749"/>
      <c r="AD103" s="749"/>
      <c r="AE103" s="749"/>
      <c r="AF103" s="749"/>
      <c r="AG103" s="749">
        <v>12780</v>
      </c>
      <c r="AH103" s="749"/>
      <c r="AI103" s="749"/>
      <c r="AJ103" s="749"/>
      <c r="AK103" s="749"/>
      <c r="AL103" s="749"/>
      <c r="AM103" s="1305" t="s">
        <v>2487</v>
      </c>
    </row>
    <row r="104" s="737" customFormat="1" ht="18" customHeight="1" spans="1:39">
      <c r="A104" s="741">
        <v>45470</v>
      </c>
      <c r="B104" s="742" t="s">
        <v>2370</v>
      </c>
      <c r="C104" s="743">
        <v>1000021374</v>
      </c>
      <c r="D104" s="743" t="s">
        <v>2485</v>
      </c>
      <c r="E104" s="743">
        <v>77486</v>
      </c>
      <c r="F104" s="743">
        <v>12780</v>
      </c>
      <c r="G104" s="744" t="s">
        <v>2456</v>
      </c>
      <c r="H104" s="744"/>
      <c r="I104" s="743" t="s">
        <v>2454</v>
      </c>
      <c r="J104" s="749"/>
      <c r="K104" s="749"/>
      <c r="L104" s="749"/>
      <c r="M104" s="749"/>
      <c r="N104" s="749"/>
      <c r="O104" s="749"/>
      <c r="P104" s="749"/>
      <c r="Q104" s="749"/>
      <c r="R104" s="749"/>
      <c r="S104" s="749"/>
      <c r="T104" s="749"/>
      <c r="U104" s="749"/>
      <c r="V104" s="749"/>
      <c r="W104" s="749"/>
      <c r="X104" s="749"/>
      <c r="Y104" s="749"/>
      <c r="Z104" s="749"/>
      <c r="AA104" s="749"/>
      <c r="AB104" s="749"/>
      <c r="AC104" s="749"/>
      <c r="AD104" s="749"/>
      <c r="AE104" s="749"/>
      <c r="AF104" s="749"/>
      <c r="AG104" s="749"/>
      <c r="AH104" s="749">
        <v>12780</v>
      </c>
      <c r="AI104" s="749"/>
      <c r="AJ104" s="749"/>
      <c r="AK104" s="749"/>
      <c r="AL104" s="749"/>
      <c r="AM104" s="1305" t="s">
        <v>2487</v>
      </c>
    </row>
    <row r="105" s="737" customFormat="1" ht="18" customHeight="1" spans="1:39">
      <c r="A105" s="741">
        <v>45475</v>
      </c>
      <c r="B105" s="742" t="s">
        <v>2370</v>
      </c>
      <c r="C105" s="743" t="s">
        <v>2482</v>
      </c>
      <c r="D105" s="743" t="s">
        <v>2433</v>
      </c>
      <c r="E105" s="743">
        <v>77485</v>
      </c>
      <c r="F105" s="743">
        <v>20000</v>
      </c>
      <c r="G105" s="744" t="s">
        <v>2380</v>
      </c>
      <c r="H105" s="744" t="s">
        <v>2434</v>
      </c>
      <c r="I105" s="743" t="s">
        <v>2393</v>
      </c>
      <c r="J105" s="749"/>
      <c r="K105" s="749"/>
      <c r="L105" s="749"/>
      <c r="M105" s="749">
        <v>20000</v>
      </c>
      <c r="N105" s="749"/>
      <c r="O105" s="749"/>
      <c r="P105" s="749"/>
      <c r="Q105" s="749"/>
      <c r="R105" s="749"/>
      <c r="S105" s="749"/>
      <c r="T105" s="749"/>
      <c r="U105" s="749"/>
      <c r="V105" s="749"/>
      <c r="W105" s="749"/>
      <c r="X105" s="749"/>
      <c r="Y105" s="749"/>
      <c r="Z105" s="749"/>
      <c r="AA105" s="749"/>
      <c r="AB105" s="749"/>
      <c r="AC105" s="749"/>
      <c r="AD105" s="749"/>
      <c r="AE105" s="749"/>
      <c r="AF105" s="749"/>
      <c r="AG105" s="749"/>
      <c r="AH105" s="749"/>
      <c r="AI105" s="749"/>
      <c r="AJ105" s="749"/>
      <c r="AK105" s="749"/>
      <c r="AL105" s="749"/>
      <c r="AM105" s="756"/>
    </row>
    <row r="106" s="737" customFormat="1" ht="18" customHeight="1" spans="1:39">
      <c r="A106" s="741">
        <v>45475</v>
      </c>
      <c r="B106" s="742" t="s">
        <v>2370</v>
      </c>
      <c r="C106" s="743" t="s">
        <v>2488</v>
      </c>
      <c r="D106" s="743" t="s">
        <v>2433</v>
      </c>
      <c r="E106" s="743">
        <v>77485</v>
      </c>
      <c r="F106" s="743">
        <v>60000</v>
      </c>
      <c r="G106" s="744" t="s">
        <v>2383</v>
      </c>
      <c r="H106" s="744" t="s">
        <v>2437</v>
      </c>
      <c r="I106" s="743" t="s">
        <v>2384</v>
      </c>
      <c r="J106" s="749"/>
      <c r="K106" s="749"/>
      <c r="L106" s="749"/>
      <c r="M106" s="749"/>
      <c r="N106" s="749">
        <v>60000</v>
      </c>
      <c r="O106" s="749"/>
      <c r="P106" s="749"/>
      <c r="Q106" s="749"/>
      <c r="R106" s="749"/>
      <c r="S106" s="749"/>
      <c r="T106" s="749"/>
      <c r="U106" s="749"/>
      <c r="V106" s="749"/>
      <c r="W106" s="749"/>
      <c r="X106" s="749"/>
      <c r="Y106" s="749"/>
      <c r="Z106" s="749"/>
      <c r="AA106" s="749"/>
      <c r="AB106" s="749"/>
      <c r="AC106" s="749"/>
      <c r="AD106" s="749"/>
      <c r="AE106" s="749"/>
      <c r="AF106" s="749"/>
      <c r="AG106" s="749"/>
      <c r="AH106" s="749"/>
      <c r="AI106" s="749"/>
      <c r="AJ106" s="749"/>
      <c r="AK106" s="749"/>
      <c r="AL106" s="749"/>
      <c r="AM106" s="756"/>
    </row>
    <row r="107" s="737" customFormat="1" ht="18" customHeight="1" spans="1:39">
      <c r="A107" s="741">
        <v>45475</v>
      </c>
      <c r="B107" s="742" t="s">
        <v>2370</v>
      </c>
      <c r="C107" s="743" t="s">
        <v>2489</v>
      </c>
      <c r="D107" s="743" t="s">
        <v>2433</v>
      </c>
      <c r="E107" s="743" t="s">
        <v>2439</v>
      </c>
      <c r="F107" s="743">
        <v>1000</v>
      </c>
      <c r="G107" s="744" t="s">
        <v>2387</v>
      </c>
      <c r="H107" s="744" t="s">
        <v>2321</v>
      </c>
      <c r="I107" s="743" t="s">
        <v>2381</v>
      </c>
      <c r="J107" s="749"/>
      <c r="K107" s="749"/>
      <c r="L107" s="749"/>
      <c r="M107" s="749"/>
      <c r="N107" s="749"/>
      <c r="O107" s="749"/>
      <c r="P107" s="749"/>
      <c r="Q107" s="749"/>
      <c r="R107" s="749"/>
      <c r="S107" s="749"/>
      <c r="T107" s="749"/>
      <c r="U107" s="749"/>
      <c r="V107" s="749">
        <v>1000</v>
      </c>
      <c r="W107" s="749"/>
      <c r="X107" s="749"/>
      <c r="Y107" s="749"/>
      <c r="Z107" s="749"/>
      <c r="AA107" s="749"/>
      <c r="AB107" s="749"/>
      <c r="AC107" s="749"/>
      <c r="AD107" s="749"/>
      <c r="AE107" s="749"/>
      <c r="AF107" s="749"/>
      <c r="AG107" s="749"/>
      <c r="AH107" s="749"/>
      <c r="AI107" s="749"/>
      <c r="AJ107" s="749"/>
      <c r="AK107" s="749"/>
      <c r="AL107" s="749"/>
      <c r="AM107" s="756"/>
    </row>
    <row r="108" s="737" customFormat="1" ht="18" customHeight="1" spans="1:39">
      <c r="A108" s="741">
        <v>45475</v>
      </c>
      <c r="B108" s="742" t="s">
        <v>2370</v>
      </c>
      <c r="C108" s="743" t="s">
        <v>2490</v>
      </c>
      <c r="D108" s="743" t="s">
        <v>2433</v>
      </c>
      <c r="E108" s="743" t="s">
        <v>2442</v>
      </c>
      <c r="F108" s="743">
        <v>500</v>
      </c>
      <c r="G108" s="744" t="s">
        <v>2387</v>
      </c>
      <c r="H108" s="744" t="s">
        <v>2321</v>
      </c>
      <c r="I108" s="743" t="s">
        <v>2381</v>
      </c>
      <c r="J108" s="749"/>
      <c r="K108" s="749"/>
      <c r="L108" s="749"/>
      <c r="M108" s="749"/>
      <c r="N108" s="749"/>
      <c r="O108" s="749"/>
      <c r="P108" s="749"/>
      <c r="Q108" s="749"/>
      <c r="R108" s="749"/>
      <c r="S108" s="749"/>
      <c r="T108" s="749"/>
      <c r="U108" s="749"/>
      <c r="V108" s="749"/>
      <c r="W108" s="749"/>
      <c r="X108" s="749">
        <v>500</v>
      </c>
      <c r="Y108" s="749"/>
      <c r="Z108" s="749"/>
      <c r="AA108" s="749"/>
      <c r="AB108" s="749"/>
      <c r="AC108" s="749"/>
      <c r="AD108" s="749"/>
      <c r="AE108" s="749"/>
      <c r="AF108" s="749"/>
      <c r="AG108" s="749"/>
      <c r="AH108" s="749"/>
      <c r="AI108" s="749"/>
      <c r="AJ108" s="749"/>
      <c r="AK108" s="749"/>
      <c r="AL108" s="749"/>
      <c r="AM108" s="756"/>
    </row>
    <row r="109" s="737" customFormat="1" ht="18" customHeight="1" spans="1:39">
      <c r="A109" s="741">
        <v>45475</v>
      </c>
      <c r="B109" s="742" t="s">
        <v>2370</v>
      </c>
      <c r="C109" s="743" t="s">
        <v>2491</v>
      </c>
      <c r="D109" s="743" t="s">
        <v>2433</v>
      </c>
      <c r="E109" s="743" t="s">
        <v>2442</v>
      </c>
      <c r="F109" s="743">
        <v>600</v>
      </c>
      <c r="G109" s="744" t="s">
        <v>2387</v>
      </c>
      <c r="H109" s="744" t="s">
        <v>2321</v>
      </c>
      <c r="I109" s="743" t="s">
        <v>2393</v>
      </c>
      <c r="J109" s="749"/>
      <c r="K109" s="749"/>
      <c r="L109" s="749"/>
      <c r="M109" s="749"/>
      <c r="N109" s="749"/>
      <c r="O109" s="749"/>
      <c r="P109" s="749"/>
      <c r="Q109" s="749"/>
      <c r="R109" s="749"/>
      <c r="S109" s="749"/>
      <c r="T109" s="749"/>
      <c r="U109" s="749"/>
      <c r="V109" s="749"/>
      <c r="W109" s="749"/>
      <c r="X109" s="749"/>
      <c r="Y109" s="749">
        <v>600</v>
      </c>
      <c r="Z109" s="749"/>
      <c r="AA109" s="749"/>
      <c r="AB109" s="749"/>
      <c r="AC109" s="749"/>
      <c r="AD109" s="749"/>
      <c r="AE109" s="749"/>
      <c r="AF109" s="749"/>
      <c r="AG109" s="749"/>
      <c r="AH109" s="749"/>
      <c r="AI109" s="749"/>
      <c r="AJ109" s="749"/>
      <c r="AK109" s="749"/>
      <c r="AL109" s="749"/>
      <c r="AM109" s="756"/>
    </row>
    <row r="110" s="737" customFormat="1" ht="18" customHeight="1" spans="1:39">
      <c r="A110" s="741"/>
      <c r="B110" s="742" t="s">
        <v>2370</v>
      </c>
      <c r="C110" s="743" t="s">
        <v>2492</v>
      </c>
      <c r="D110" s="743" t="s">
        <v>2493</v>
      </c>
      <c r="E110" s="743" t="s">
        <v>2386</v>
      </c>
      <c r="F110" s="743">
        <v>790</v>
      </c>
      <c r="G110" s="744" t="s">
        <v>2387</v>
      </c>
      <c r="H110" s="744" t="s">
        <v>2321</v>
      </c>
      <c r="I110" s="743" t="s">
        <v>2393</v>
      </c>
      <c r="J110" s="749"/>
      <c r="K110" s="749"/>
      <c r="L110" s="749"/>
      <c r="M110" s="749"/>
      <c r="N110" s="749"/>
      <c r="O110" s="749"/>
      <c r="P110" s="749"/>
      <c r="Q110" s="749">
        <v>790</v>
      </c>
      <c r="R110" s="749"/>
      <c r="S110" s="749"/>
      <c r="T110" s="749"/>
      <c r="U110" s="749"/>
      <c r="V110" s="749"/>
      <c r="W110" s="749"/>
      <c r="X110" s="749"/>
      <c r="Y110" s="749"/>
      <c r="Z110" s="749"/>
      <c r="AA110" s="749"/>
      <c r="AB110" s="749"/>
      <c r="AC110" s="749"/>
      <c r="AD110" s="749"/>
      <c r="AE110" s="749"/>
      <c r="AF110" s="749"/>
      <c r="AG110" s="749"/>
      <c r="AH110" s="749"/>
      <c r="AI110" s="749"/>
      <c r="AJ110" s="749"/>
      <c r="AK110" s="749"/>
      <c r="AL110" s="749"/>
      <c r="AM110" s="756"/>
    </row>
    <row r="111" s="737" customFormat="1" ht="18" customHeight="1" spans="1:39">
      <c r="A111" s="741">
        <v>45475</v>
      </c>
      <c r="B111" s="742" t="s">
        <v>2370</v>
      </c>
      <c r="C111" s="743">
        <v>1000021525</v>
      </c>
      <c r="D111" s="743" t="s">
        <v>2485</v>
      </c>
      <c r="E111" s="743" t="s">
        <v>2424</v>
      </c>
      <c r="F111" s="743">
        <v>6000</v>
      </c>
      <c r="G111" s="744" t="s">
        <v>2486</v>
      </c>
      <c r="H111" s="744"/>
      <c r="I111" s="743" t="s">
        <v>2381</v>
      </c>
      <c r="J111" s="749"/>
      <c r="K111" s="749">
        <v>6000</v>
      </c>
      <c r="L111" s="749"/>
      <c r="M111" s="749"/>
      <c r="N111" s="749"/>
      <c r="O111" s="749"/>
      <c r="P111" s="749"/>
      <c r="Q111" s="749"/>
      <c r="R111" s="749"/>
      <c r="S111" s="749"/>
      <c r="T111" s="749"/>
      <c r="U111" s="749"/>
      <c r="V111" s="749"/>
      <c r="W111" s="749"/>
      <c r="X111" s="749"/>
      <c r="Y111" s="749"/>
      <c r="Z111" s="749"/>
      <c r="AA111" s="749"/>
      <c r="AB111" s="749"/>
      <c r="AC111" s="749"/>
      <c r="AD111" s="749"/>
      <c r="AE111" s="749"/>
      <c r="AF111" s="749"/>
      <c r="AG111" s="749"/>
      <c r="AH111" s="749"/>
      <c r="AI111" s="749"/>
      <c r="AJ111" s="749"/>
      <c r="AK111" s="749"/>
      <c r="AL111" s="749"/>
      <c r="AM111" s="1305" t="s">
        <v>2494</v>
      </c>
    </row>
    <row r="112" s="737" customFormat="1" ht="18" customHeight="1" spans="1:39">
      <c r="A112" s="741">
        <v>45475</v>
      </c>
      <c r="B112" s="742" t="s">
        <v>2370</v>
      </c>
      <c r="C112" s="743">
        <v>1000021526</v>
      </c>
      <c r="D112" s="743" t="s">
        <v>2485</v>
      </c>
      <c r="E112" s="743">
        <v>77486</v>
      </c>
      <c r="F112" s="743">
        <v>3000</v>
      </c>
      <c r="G112" s="744" t="s">
        <v>2420</v>
      </c>
      <c r="H112" s="744"/>
      <c r="I112" s="743" t="s">
        <v>2454</v>
      </c>
      <c r="J112" s="749"/>
      <c r="K112" s="749"/>
      <c r="L112" s="749"/>
      <c r="M112" s="749"/>
      <c r="N112" s="749"/>
      <c r="O112" s="749"/>
      <c r="P112" s="749"/>
      <c r="Q112" s="749"/>
      <c r="R112" s="749"/>
      <c r="S112" s="749"/>
      <c r="T112" s="749"/>
      <c r="U112" s="749"/>
      <c r="V112" s="749"/>
      <c r="W112" s="749"/>
      <c r="X112" s="749"/>
      <c r="Y112" s="749"/>
      <c r="Z112" s="749"/>
      <c r="AA112" s="749"/>
      <c r="AB112" s="749"/>
      <c r="AC112" s="749"/>
      <c r="AD112" s="749"/>
      <c r="AE112" s="749"/>
      <c r="AF112" s="749">
        <v>3000</v>
      </c>
      <c r="AG112" s="749"/>
      <c r="AH112" s="749"/>
      <c r="AI112" s="749"/>
      <c r="AJ112" s="749"/>
      <c r="AK112" s="749"/>
      <c r="AL112" s="749"/>
      <c r="AM112" s="1305" t="s">
        <v>2494</v>
      </c>
    </row>
    <row r="113" s="737" customFormat="1" ht="18" customHeight="1" spans="1:39">
      <c r="A113" s="741">
        <v>45475</v>
      </c>
      <c r="B113" s="742" t="s">
        <v>2370</v>
      </c>
      <c r="C113" s="743">
        <v>1000021527</v>
      </c>
      <c r="D113" s="743" t="s">
        <v>2485</v>
      </c>
      <c r="E113" s="743">
        <v>77486</v>
      </c>
      <c r="F113" s="743">
        <v>3000</v>
      </c>
      <c r="G113" s="744" t="s">
        <v>2422</v>
      </c>
      <c r="H113" s="744"/>
      <c r="I113" s="743" t="s">
        <v>2393</v>
      </c>
      <c r="J113" s="749"/>
      <c r="K113" s="749"/>
      <c r="L113" s="749"/>
      <c r="M113" s="749"/>
      <c r="N113" s="749"/>
      <c r="O113" s="749"/>
      <c r="P113" s="749"/>
      <c r="Q113" s="749"/>
      <c r="R113" s="749"/>
      <c r="S113" s="749"/>
      <c r="T113" s="749"/>
      <c r="U113" s="749"/>
      <c r="V113" s="749"/>
      <c r="W113" s="749"/>
      <c r="X113" s="749"/>
      <c r="Y113" s="749"/>
      <c r="Z113" s="749"/>
      <c r="AA113" s="749"/>
      <c r="AB113" s="749"/>
      <c r="AC113" s="749"/>
      <c r="AD113" s="749"/>
      <c r="AE113" s="749"/>
      <c r="AF113" s="749"/>
      <c r="AG113" s="749">
        <v>3000</v>
      </c>
      <c r="AH113" s="749"/>
      <c r="AI113" s="749"/>
      <c r="AJ113" s="749"/>
      <c r="AK113" s="749"/>
      <c r="AL113" s="749"/>
      <c r="AM113" s="1305" t="s">
        <v>2494</v>
      </c>
    </row>
    <row r="114" s="737" customFormat="1" ht="18" customHeight="1" spans="1:39">
      <c r="A114" s="741">
        <v>45475</v>
      </c>
      <c r="B114" s="742" t="s">
        <v>2370</v>
      </c>
      <c r="C114" s="743">
        <v>1000021528</v>
      </c>
      <c r="D114" s="743" t="s">
        <v>2485</v>
      </c>
      <c r="E114" s="743">
        <v>77486</v>
      </c>
      <c r="F114" s="743">
        <v>3000</v>
      </c>
      <c r="G114" s="744" t="s">
        <v>2456</v>
      </c>
      <c r="H114" s="744"/>
      <c r="I114" s="743" t="s">
        <v>2454</v>
      </c>
      <c r="J114" s="749"/>
      <c r="K114" s="749"/>
      <c r="L114" s="749"/>
      <c r="M114" s="749"/>
      <c r="N114" s="749"/>
      <c r="O114" s="749"/>
      <c r="P114" s="749"/>
      <c r="Q114" s="749"/>
      <c r="R114" s="749"/>
      <c r="S114" s="749"/>
      <c r="T114" s="749"/>
      <c r="U114" s="749"/>
      <c r="V114" s="749"/>
      <c r="W114" s="749"/>
      <c r="X114" s="749"/>
      <c r="Y114" s="749"/>
      <c r="Z114" s="749"/>
      <c r="AA114" s="749"/>
      <c r="AB114" s="749"/>
      <c r="AC114" s="749"/>
      <c r="AD114" s="749"/>
      <c r="AE114" s="749"/>
      <c r="AF114" s="749"/>
      <c r="AG114" s="749"/>
      <c r="AH114" s="749">
        <v>3000</v>
      </c>
      <c r="AI114" s="749"/>
      <c r="AJ114" s="749"/>
      <c r="AK114" s="749"/>
      <c r="AL114" s="749"/>
      <c r="AM114" s="1305" t="s">
        <v>2494</v>
      </c>
    </row>
    <row r="115" s="737" customFormat="1" ht="18" customHeight="1" spans="1:39">
      <c r="A115" s="741">
        <v>45484</v>
      </c>
      <c r="B115" s="742" t="s">
        <v>2370</v>
      </c>
      <c r="C115" s="743">
        <v>17006693</v>
      </c>
      <c r="D115" s="743"/>
      <c r="E115" s="743">
        <v>77486</v>
      </c>
      <c r="F115" s="743">
        <v>7680</v>
      </c>
      <c r="G115" s="744" t="s">
        <v>2420</v>
      </c>
      <c r="H115" s="744"/>
      <c r="I115" s="743" t="s">
        <v>2454</v>
      </c>
      <c r="J115" s="749"/>
      <c r="K115" s="749"/>
      <c r="L115" s="749"/>
      <c r="M115" s="749"/>
      <c r="N115" s="749"/>
      <c r="O115" s="749"/>
      <c r="P115" s="749"/>
      <c r="Q115" s="749"/>
      <c r="R115" s="749"/>
      <c r="S115" s="749"/>
      <c r="T115" s="749"/>
      <c r="U115" s="749"/>
      <c r="V115" s="749"/>
      <c r="W115" s="749"/>
      <c r="X115" s="749"/>
      <c r="Y115" s="749"/>
      <c r="Z115" s="749"/>
      <c r="AA115" s="749"/>
      <c r="AB115" s="749"/>
      <c r="AC115" s="749"/>
      <c r="AD115" s="749"/>
      <c r="AE115" s="749"/>
      <c r="AF115" s="749">
        <v>7680</v>
      </c>
      <c r="AG115" s="749"/>
      <c r="AH115" s="749"/>
      <c r="AI115" s="749"/>
      <c r="AJ115" s="749"/>
      <c r="AK115" s="749"/>
      <c r="AL115" s="749"/>
      <c r="AM115" s="1305" t="s">
        <v>2495</v>
      </c>
    </row>
    <row r="116" s="737" customFormat="1" ht="18" customHeight="1" spans="1:39">
      <c r="A116" s="741">
        <v>45484</v>
      </c>
      <c r="B116" s="742" t="s">
        <v>2370</v>
      </c>
      <c r="C116" s="743" t="s">
        <v>2482</v>
      </c>
      <c r="D116" s="743"/>
      <c r="E116" s="743">
        <v>77486</v>
      </c>
      <c r="F116" s="743">
        <v>7680</v>
      </c>
      <c r="G116" s="744" t="s">
        <v>2422</v>
      </c>
      <c r="H116" s="744"/>
      <c r="I116" s="743" t="s">
        <v>2381</v>
      </c>
      <c r="J116" s="749"/>
      <c r="K116" s="749"/>
      <c r="L116" s="749"/>
      <c r="M116" s="749"/>
      <c r="N116" s="749"/>
      <c r="O116" s="749"/>
      <c r="P116" s="749"/>
      <c r="Q116" s="749"/>
      <c r="R116" s="749"/>
      <c r="S116" s="749"/>
      <c r="T116" s="749"/>
      <c r="U116" s="749"/>
      <c r="V116" s="749"/>
      <c r="W116" s="749"/>
      <c r="X116" s="749"/>
      <c r="Y116" s="749"/>
      <c r="Z116" s="749"/>
      <c r="AA116" s="749"/>
      <c r="AB116" s="749"/>
      <c r="AC116" s="749"/>
      <c r="AD116" s="749"/>
      <c r="AE116" s="749"/>
      <c r="AF116" s="749"/>
      <c r="AG116" s="749">
        <v>7680</v>
      </c>
      <c r="AH116" s="749"/>
      <c r="AI116" s="749"/>
      <c r="AJ116" s="749"/>
      <c r="AK116" s="749"/>
      <c r="AL116" s="749"/>
      <c r="AM116" s="1305" t="s">
        <v>2495</v>
      </c>
    </row>
    <row r="117" s="737" customFormat="1" ht="18" customHeight="1" spans="1:39">
      <c r="A117" s="741">
        <v>45484</v>
      </c>
      <c r="B117" s="742" t="s">
        <v>2370</v>
      </c>
      <c r="C117" s="743">
        <v>17006695</v>
      </c>
      <c r="D117" s="743"/>
      <c r="E117" s="743">
        <v>77486</v>
      </c>
      <c r="F117" s="743">
        <v>7680</v>
      </c>
      <c r="G117" s="744" t="s">
        <v>2456</v>
      </c>
      <c r="H117" s="744"/>
      <c r="I117" s="743" t="s">
        <v>2454</v>
      </c>
      <c r="J117" s="749"/>
      <c r="K117" s="749"/>
      <c r="L117" s="749"/>
      <c r="M117" s="749"/>
      <c r="N117" s="749"/>
      <c r="O117" s="749"/>
      <c r="P117" s="749"/>
      <c r="Q117" s="749"/>
      <c r="R117" s="749"/>
      <c r="S117" s="749"/>
      <c r="T117" s="749"/>
      <c r="U117" s="749"/>
      <c r="V117" s="749"/>
      <c r="W117" s="749"/>
      <c r="X117" s="749"/>
      <c r="Y117" s="749"/>
      <c r="Z117" s="749"/>
      <c r="AA117" s="749"/>
      <c r="AB117" s="749"/>
      <c r="AC117" s="749"/>
      <c r="AD117" s="749"/>
      <c r="AE117" s="749"/>
      <c r="AF117" s="749"/>
      <c r="AG117" s="749"/>
      <c r="AH117" s="749">
        <v>7680</v>
      </c>
      <c r="AI117" s="749"/>
      <c r="AJ117" s="749"/>
      <c r="AK117" s="749"/>
      <c r="AL117" s="749"/>
      <c r="AM117" s="1305" t="s">
        <v>2495</v>
      </c>
    </row>
    <row r="118" s="737" customFormat="1" ht="18" customHeight="1" spans="1:39">
      <c r="A118" s="741">
        <v>45490</v>
      </c>
      <c r="B118" s="742" t="s">
        <v>2370</v>
      </c>
      <c r="C118" s="743" t="s">
        <v>2482</v>
      </c>
      <c r="D118" s="743" t="s">
        <v>2433</v>
      </c>
      <c r="E118" s="743">
        <v>77485</v>
      </c>
      <c r="F118" s="743">
        <v>50000</v>
      </c>
      <c r="G118" s="744" t="s">
        <v>2380</v>
      </c>
      <c r="H118" s="744" t="s">
        <v>2434</v>
      </c>
      <c r="I118" s="743" t="s">
        <v>2381</v>
      </c>
      <c r="J118" s="749">
        <v>50000</v>
      </c>
      <c r="K118" s="749"/>
      <c r="L118" s="749"/>
      <c r="M118" s="749"/>
      <c r="N118" s="749"/>
      <c r="O118" s="749"/>
      <c r="P118" s="749"/>
      <c r="Q118" s="749"/>
      <c r="R118" s="749"/>
      <c r="S118" s="749"/>
      <c r="T118" s="749"/>
      <c r="U118" s="749"/>
      <c r="V118" s="749"/>
      <c r="W118" s="749"/>
      <c r="X118" s="749"/>
      <c r="Y118" s="749"/>
      <c r="Z118" s="749"/>
      <c r="AA118" s="749"/>
      <c r="AB118" s="749"/>
      <c r="AC118" s="749"/>
      <c r="AD118" s="749"/>
      <c r="AE118" s="749"/>
      <c r="AF118" s="749"/>
      <c r="AG118" s="749"/>
      <c r="AH118" s="749"/>
      <c r="AI118" s="749"/>
      <c r="AJ118" s="749"/>
      <c r="AK118" s="749"/>
      <c r="AL118" s="749"/>
      <c r="AM118" s="756"/>
    </row>
    <row r="119" s="737" customFormat="1" ht="18" customHeight="1" spans="1:39">
      <c r="A119" s="741">
        <v>45490</v>
      </c>
      <c r="B119" s="742" t="s">
        <v>2370</v>
      </c>
      <c r="C119" s="743" t="s">
        <v>2496</v>
      </c>
      <c r="D119" s="743" t="s">
        <v>2433</v>
      </c>
      <c r="E119" s="743">
        <v>77485</v>
      </c>
      <c r="F119" s="743">
        <v>50000</v>
      </c>
      <c r="G119" s="744" t="s">
        <v>2383</v>
      </c>
      <c r="H119" s="744" t="s">
        <v>2437</v>
      </c>
      <c r="I119" s="743" t="s">
        <v>2384</v>
      </c>
      <c r="J119" s="749"/>
      <c r="K119" s="749"/>
      <c r="L119" s="749"/>
      <c r="M119" s="749"/>
      <c r="N119" s="749">
        <v>50000</v>
      </c>
      <c r="O119" s="749"/>
      <c r="P119" s="749"/>
      <c r="Q119" s="749"/>
      <c r="R119" s="749"/>
      <c r="S119" s="749"/>
      <c r="T119" s="749"/>
      <c r="U119" s="749"/>
      <c r="V119" s="749"/>
      <c r="W119" s="749"/>
      <c r="X119" s="749"/>
      <c r="Y119" s="749"/>
      <c r="Z119" s="749"/>
      <c r="AA119" s="749"/>
      <c r="AB119" s="749"/>
      <c r="AC119" s="749"/>
      <c r="AD119" s="749"/>
      <c r="AE119" s="749"/>
      <c r="AF119" s="749"/>
      <c r="AG119" s="749"/>
      <c r="AH119" s="749"/>
      <c r="AI119" s="749"/>
      <c r="AJ119" s="749"/>
      <c r="AK119" s="749"/>
      <c r="AL119" s="749"/>
      <c r="AM119" s="756"/>
    </row>
    <row r="120" s="737" customFormat="1" ht="18" customHeight="1" spans="1:39">
      <c r="A120" s="741">
        <v>45499</v>
      </c>
      <c r="B120" s="742" t="s">
        <v>2370</v>
      </c>
      <c r="C120" s="743" t="s">
        <v>2482</v>
      </c>
      <c r="D120" s="743" t="s">
        <v>2433</v>
      </c>
      <c r="E120" s="743">
        <v>77485</v>
      </c>
      <c r="F120" s="743">
        <v>100000</v>
      </c>
      <c r="G120" s="744" t="s">
        <v>2380</v>
      </c>
      <c r="H120" s="744" t="s">
        <v>2434</v>
      </c>
      <c r="I120" s="743" t="s">
        <v>2381</v>
      </c>
      <c r="J120" s="749">
        <v>100000</v>
      </c>
      <c r="K120" s="749"/>
      <c r="L120" s="749"/>
      <c r="M120" s="749"/>
      <c r="N120" s="749"/>
      <c r="O120" s="749"/>
      <c r="P120" s="749"/>
      <c r="Q120" s="749"/>
      <c r="R120" s="749"/>
      <c r="S120" s="749"/>
      <c r="T120" s="749"/>
      <c r="U120" s="749"/>
      <c r="V120" s="749"/>
      <c r="W120" s="749"/>
      <c r="X120" s="749"/>
      <c r="Y120" s="749"/>
      <c r="Z120" s="749"/>
      <c r="AA120" s="749"/>
      <c r="AB120" s="749"/>
      <c r="AC120" s="749"/>
      <c r="AD120" s="749"/>
      <c r="AE120" s="749"/>
      <c r="AF120" s="749"/>
      <c r="AG120" s="749"/>
      <c r="AH120" s="749"/>
      <c r="AI120" s="749"/>
      <c r="AJ120" s="749"/>
      <c r="AK120" s="749"/>
      <c r="AL120" s="749"/>
      <c r="AM120" s="756"/>
    </row>
    <row r="121" s="737" customFormat="1" ht="18" customHeight="1" spans="1:39">
      <c r="A121" s="741">
        <v>45499</v>
      </c>
      <c r="B121" s="742" t="s">
        <v>2370</v>
      </c>
      <c r="C121" s="743" t="s">
        <v>2497</v>
      </c>
      <c r="D121" s="743" t="s">
        <v>2433</v>
      </c>
      <c r="E121" s="743">
        <v>77485</v>
      </c>
      <c r="F121" s="743">
        <v>150000</v>
      </c>
      <c r="G121" s="744" t="s">
        <v>2383</v>
      </c>
      <c r="H121" s="744" t="s">
        <v>2437</v>
      </c>
      <c r="I121" s="743" t="s">
        <v>2384</v>
      </c>
      <c r="J121" s="749"/>
      <c r="K121" s="749"/>
      <c r="L121" s="749"/>
      <c r="M121" s="749"/>
      <c r="N121" s="749">
        <v>150000</v>
      </c>
      <c r="O121" s="749"/>
      <c r="P121" s="749"/>
      <c r="Q121" s="749"/>
      <c r="R121" s="749"/>
      <c r="S121" s="749"/>
      <c r="T121" s="749"/>
      <c r="U121" s="749"/>
      <c r="V121" s="749"/>
      <c r="W121" s="749"/>
      <c r="X121" s="749"/>
      <c r="Y121" s="749"/>
      <c r="Z121" s="749"/>
      <c r="AA121" s="749"/>
      <c r="AB121" s="749"/>
      <c r="AC121" s="749"/>
      <c r="AD121" s="749"/>
      <c r="AE121" s="749"/>
      <c r="AF121" s="749"/>
      <c r="AG121" s="749"/>
      <c r="AH121" s="749"/>
      <c r="AI121" s="749"/>
      <c r="AJ121" s="749"/>
      <c r="AK121" s="749"/>
      <c r="AL121" s="749"/>
      <c r="AM121" s="756"/>
    </row>
    <row r="122" s="737" customFormat="1" ht="18" customHeight="1" spans="1:39">
      <c r="A122" s="741">
        <v>45499</v>
      </c>
      <c r="B122" s="742" t="s">
        <v>2370</v>
      </c>
      <c r="C122" s="743" t="s">
        <v>2498</v>
      </c>
      <c r="D122" s="743" t="s">
        <v>2433</v>
      </c>
      <c r="E122" s="743" t="s">
        <v>2439</v>
      </c>
      <c r="F122" s="743">
        <v>500</v>
      </c>
      <c r="G122" s="744" t="s">
        <v>2387</v>
      </c>
      <c r="H122" s="744" t="s">
        <v>2321</v>
      </c>
      <c r="I122" s="743" t="s">
        <v>2381</v>
      </c>
      <c r="J122" s="749"/>
      <c r="K122" s="749"/>
      <c r="L122" s="749"/>
      <c r="M122" s="749"/>
      <c r="N122" s="749"/>
      <c r="O122" s="749"/>
      <c r="P122" s="749"/>
      <c r="Q122" s="749"/>
      <c r="R122" s="749"/>
      <c r="S122" s="749"/>
      <c r="T122" s="749"/>
      <c r="U122" s="749"/>
      <c r="V122" s="749">
        <v>500</v>
      </c>
      <c r="W122" s="749"/>
      <c r="X122" s="749"/>
      <c r="Y122" s="749"/>
      <c r="Z122" s="749"/>
      <c r="AA122" s="749"/>
      <c r="AB122" s="749"/>
      <c r="AC122" s="749"/>
      <c r="AD122" s="749"/>
      <c r="AE122" s="749"/>
      <c r="AF122" s="749"/>
      <c r="AG122" s="749"/>
      <c r="AH122" s="749"/>
      <c r="AI122" s="749"/>
      <c r="AJ122" s="749"/>
      <c r="AK122" s="749"/>
      <c r="AL122" s="749"/>
      <c r="AM122" s="756"/>
    </row>
    <row r="123" s="737" customFormat="1" ht="18" customHeight="1" spans="1:39">
      <c r="A123" s="741">
        <v>45499</v>
      </c>
      <c r="B123" s="742" t="s">
        <v>2370</v>
      </c>
      <c r="C123" s="743" t="s">
        <v>2499</v>
      </c>
      <c r="D123" s="743" t="s">
        <v>2433</v>
      </c>
      <c r="E123" s="743" t="s">
        <v>2439</v>
      </c>
      <c r="F123" s="743">
        <v>500</v>
      </c>
      <c r="G123" s="744" t="s">
        <v>2387</v>
      </c>
      <c r="H123" s="744" t="s">
        <v>2321</v>
      </c>
      <c r="I123" s="743" t="s">
        <v>2393</v>
      </c>
      <c r="J123" s="749"/>
      <c r="K123" s="749"/>
      <c r="L123" s="749"/>
      <c r="M123" s="749"/>
      <c r="N123" s="749"/>
      <c r="O123" s="749"/>
      <c r="P123" s="749"/>
      <c r="Q123" s="749"/>
      <c r="R123" s="749"/>
      <c r="S123" s="749"/>
      <c r="T123" s="749"/>
      <c r="U123" s="749"/>
      <c r="V123" s="749"/>
      <c r="W123" s="749">
        <v>500</v>
      </c>
      <c r="X123" s="749"/>
      <c r="Y123" s="749"/>
      <c r="Z123" s="749"/>
      <c r="AA123" s="749"/>
      <c r="AB123" s="749"/>
      <c r="AC123" s="749"/>
      <c r="AD123" s="749"/>
      <c r="AE123" s="749"/>
      <c r="AF123" s="749"/>
      <c r="AG123" s="749"/>
      <c r="AH123" s="749"/>
      <c r="AI123" s="749"/>
      <c r="AJ123" s="749"/>
      <c r="AK123" s="749"/>
      <c r="AL123" s="749"/>
      <c r="AM123" s="756"/>
    </row>
    <row r="124" s="737" customFormat="1" ht="18" customHeight="1" spans="1:39">
      <c r="A124" s="741">
        <v>45510</v>
      </c>
      <c r="B124" s="742" t="s">
        <v>2370</v>
      </c>
      <c r="C124" s="743" t="s">
        <v>2482</v>
      </c>
      <c r="D124" s="743" t="s">
        <v>2485</v>
      </c>
      <c r="E124" s="743" t="s">
        <v>2386</v>
      </c>
      <c r="F124" s="743">
        <v>1000</v>
      </c>
      <c r="G124" s="744" t="s">
        <v>2387</v>
      </c>
      <c r="H124" s="744" t="s">
        <v>2321</v>
      </c>
      <c r="I124" s="743" t="s">
        <v>2381</v>
      </c>
      <c r="J124" s="749"/>
      <c r="K124" s="749"/>
      <c r="L124" s="749"/>
      <c r="M124" s="749"/>
      <c r="N124" s="749"/>
      <c r="O124" s="749"/>
      <c r="P124" s="749">
        <v>1000</v>
      </c>
      <c r="Q124" s="749"/>
      <c r="R124" s="749"/>
      <c r="S124" s="749"/>
      <c r="T124" s="749"/>
      <c r="U124" s="749"/>
      <c r="V124" s="749"/>
      <c r="W124" s="749"/>
      <c r="X124" s="749"/>
      <c r="Y124" s="749"/>
      <c r="Z124" s="749"/>
      <c r="AA124" s="749"/>
      <c r="AB124" s="749"/>
      <c r="AC124" s="749"/>
      <c r="AD124" s="749"/>
      <c r="AE124" s="749"/>
      <c r="AF124" s="749"/>
      <c r="AG124" s="749"/>
      <c r="AH124" s="749"/>
      <c r="AI124" s="749"/>
      <c r="AJ124" s="749"/>
      <c r="AK124" s="749"/>
      <c r="AL124" s="749"/>
      <c r="AM124" s="756"/>
    </row>
    <row r="125" s="737" customFormat="1" ht="18" customHeight="1" spans="1:39">
      <c r="A125" s="741">
        <v>45510</v>
      </c>
      <c r="B125" s="742" t="s">
        <v>2370</v>
      </c>
      <c r="C125" s="743">
        <v>1000022311</v>
      </c>
      <c r="D125" s="743" t="s">
        <v>2433</v>
      </c>
      <c r="E125" s="743" t="s">
        <v>2442</v>
      </c>
      <c r="F125" s="743">
        <v>500</v>
      </c>
      <c r="G125" s="744" t="s">
        <v>2387</v>
      </c>
      <c r="H125" s="744" t="s">
        <v>2321</v>
      </c>
      <c r="I125" s="743" t="s">
        <v>2381</v>
      </c>
      <c r="J125" s="749"/>
      <c r="K125" s="749"/>
      <c r="L125" s="749"/>
      <c r="M125" s="749"/>
      <c r="N125" s="749"/>
      <c r="O125" s="749"/>
      <c r="P125" s="749"/>
      <c r="Q125" s="749"/>
      <c r="R125" s="749"/>
      <c r="S125" s="749"/>
      <c r="T125" s="749"/>
      <c r="U125" s="749"/>
      <c r="V125" s="749"/>
      <c r="W125" s="749"/>
      <c r="X125" s="749">
        <v>500</v>
      </c>
      <c r="Y125" s="749"/>
      <c r="Z125" s="749"/>
      <c r="AA125" s="749"/>
      <c r="AB125" s="749"/>
      <c r="AC125" s="749"/>
      <c r="AD125" s="749"/>
      <c r="AE125" s="749"/>
      <c r="AF125" s="749"/>
      <c r="AG125" s="749"/>
      <c r="AH125" s="749"/>
      <c r="AI125" s="749"/>
      <c r="AJ125" s="749"/>
      <c r="AK125" s="749"/>
      <c r="AL125" s="749"/>
      <c r="AM125" s="756"/>
    </row>
    <row r="126" s="737" customFormat="1" ht="18" customHeight="1" spans="1:39">
      <c r="A126" s="741">
        <v>45478</v>
      </c>
      <c r="B126" s="742" t="s">
        <v>2370</v>
      </c>
      <c r="C126" s="743">
        <v>1000021657</v>
      </c>
      <c r="D126" s="743" t="s">
        <v>2458</v>
      </c>
      <c r="E126" s="743" t="s">
        <v>2386</v>
      </c>
      <c r="F126" s="743">
        <v>500</v>
      </c>
      <c r="G126" s="744" t="s">
        <v>2387</v>
      </c>
      <c r="H126" s="744"/>
      <c r="I126" s="743" t="s">
        <v>2393</v>
      </c>
      <c r="J126" s="749"/>
      <c r="K126" s="749"/>
      <c r="L126" s="749"/>
      <c r="M126" s="749"/>
      <c r="N126" s="749"/>
      <c r="O126" s="749"/>
      <c r="P126" s="749"/>
      <c r="Q126" s="749">
        <v>500</v>
      </c>
      <c r="R126" s="749"/>
      <c r="S126" s="749"/>
      <c r="T126" s="749"/>
      <c r="U126" s="749"/>
      <c r="V126" s="749"/>
      <c r="W126" s="749"/>
      <c r="X126" s="749"/>
      <c r="Y126" s="749"/>
      <c r="Z126" s="749"/>
      <c r="AA126" s="749"/>
      <c r="AB126" s="749"/>
      <c r="AC126" s="749"/>
      <c r="AD126" s="749"/>
      <c r="AE126" s="749"/>
      <c r="AF126" s="749"/>
      <c r="AG126" s="749"/>
      <c r="AH126" s="749"/>
      <c r="AI126" s="749"/>
      <c r="AJ126" s="749"/>
      <c r="AK126" s="749"/>
      <c r="AL126" s="749"/>
      <c r="AM126" s="756"/>
    </row>
    <row r="127" s="737" customFormat="1" ht="18" customHeight="1" spans="1:39">
      <c r="A127" s="741">
        <v>45520</v>
      </c>
      <c r="B127" s="742" t="s">
        <v>2370</v>
      </c>
      <c r="C127" s="743">
        <v>1000022487</v>
      </c>
      <c r="D127" s="743" t="s">
        <v>2458</v>
      </c>
      <c r="E127" s="743">
        <v>77485</v>
      </c>
      <c r="F127" s="743">
        <v>20760</v>
      </c>
      <c r="G127" s="744" t="s">
        <v>2377</v>
      </c>
      <c r="H127" s="744"/>
      <c r="I127" s="743" t="s">
        <v>2384</v>
      </c>
      <c r="J127" s="749"/>
      <c r="K127" s="749"/>
      <c r="L127" s="749"/>
      <c r="M127" s="749"/>
      <c r="N127" s="749"/>
      <c r="O127" s="749">
        <v>20760</v>
      </c>
      <c r="P127" s="749"/>
      <c r="Q127" s="749"/>
      <c r="R127" s="749"/>
      <c r="S127" s="749"/>
      <c r="T127" s="749"/>
      <c r="U127" s="749"/>
      <c r="V127" s="749"/>
      <c r="W127" s="749"/>
      <c r="X127" s="749"/>
      <c r="Y127" s="749"/>
      <c r="Z127" s="749"/>
      <c r="AA127" s="749"/>
      <c r="AB127" s="749"/>
      <c r="AC127" s="749"/>
      <c r="AD127" s="749"/>
      <c r="AE127" s="749"/>
      <c r="AF127" s="749"/>
      <c r="AG127" s="749"/>
      <c r="AH127" s="749"/>
      <c r="AI127" s="749"/>
      <c r="AJ127" s="749"/>
      <c r="AK127" s="749"/>
      <c r="AL127" s="749"/>
      <c r="AM127" s="1305" t="s">
        <v>2500</v>
      </c>
    </row>
    <row r="128" s="737" customFormat="1" ht="18" customHeight="1" spans="1:39">
      <c r="A128" s="741">
        <v>45520</v>
      </c>
      <c r="B128" s="742" t="s">
        <v>2370</v>
      </c>
      <c r="C128" s="743">
        <v>1000022488</v>
      </c>
      <c r="D128" s="743" t="s">
        <v>2458</v>
      </c>
      <c r="E128" s="743" t="s">
        <v>2389</v>
      </c>
      <c r="F128" s="743">
        <v>1730</v>
      </c>
      <c r="G128" s="744" t="s">
        <v>2387</v>
      </c>
      <c r="H128" s="744"/>
      <c r="I128" s="743" t="s">
        <v>2381</v>
      </c>
      <c r="J128" s="749"/>
      <c r="K128" s="749"/>
      <c r="L128" s="749"/>
      <c r="M128" s="749"/>
      <c r="N128" s="749"/>
      <c r="O128" s="749"/>
      <c r="P128" s="749"/>
      <c r="Q128" s="749"/>
      <c r="R128" s="749"/>
      <c r="S128" s="749">
        <v>1730</v>
      </c>
      <c r="T128" s="749"/>
      <c r="U128" s="749"/>
      <c r="V128" s="749"/>
      <c r="W128" s="749"/>
      <c r="X128" s="749"/>
      <c r="Y128" s="749"/>
      <c r="Z128" s="749"/>
      <c r="AA128" s="749"/>
      <c r="AB128" s="749"/>
      <c r="AC128" s="749"/>
      <c r="AD128" s="749"/>
      <c r="AE128" s="749"/>
      <c r="AF128" s="749"/>
      <c r="AG128" s="749"/>
      <c r="AH128" s="749"/>
      <c r="AI128" s="749"/>
      <c r="AJ128" s="749"/>
      <c r="AK128" s="749"/>
      <c r="AL128" s="749"/>
      <c r="AM128" s="1305" t="s">
        <v>2500</v>
      </c>
    </row>
    <row r="129" s="737" customFormat="1" ht="18" customHeight="1" spans="1:39">
      <c r="A129" s="741">
        <v>45537</v>
      </c>
      <c r="B129" s="742" t="s">
        <v>2370</v>
      </c>
      <c r="C129" s="743">
        <v>1000022837</v>
      </c>
      <c r="D129" s="743"/>
      <c r="E129" s="743">
        <v>77486</v>
      </c>
      <c r="F129" s="743">
        <v>5000</v>
      </c>
      <c r="G129" s="744" t="s">
        <v>2422</v>
      </c>
      <c r="H129" s="744" t="s">
        <v>2434</v>
      </c>
      <c r="I129" s="743"/>
      <c r="J129" s="749"/>
      <c r="K129" s="749"/>
      <c r="L129" s="749"/>
      <c r="M129" s="749"/>
      <c r="N129" s="749"/>
      <c r="O129" s="749"/>
      <c r="P129" s="749"/>
      <c r="Q129" s="749"/>
      <c r="R129" s="749"/>
      <c r="S129" s="749"/>
      <c r="T129" s="749"/>
      <c r="U129" s="749"/>
      <c r="V129" s="749"/>
      <c r="W129" s="749"/>
      <c r="X129" s="749"/>
      <c r="Y129" s="749"/>
      <c r="Z129" s="749"/>
      <c r="AA129" s="749"/>
      <c r="AB129" s="749"/>
      <c r="AC129" s="749"/>
      <c r="AD129" s="749"/>
      <c r="AE129" s="749"/>
      <c r="AF129" s="749"/>
      <c r="AG129" s="749">
        <v>5000</v>
      </c>
      <c r="AH129" s="749"/>
      <c r="AI129" s="749"/>
      <c r="AJ129" s="749"/>
      <c r="AK129" s="749"/>
      <c r="AL129" s="749"/>
      <c r="AM129" s="1305" t="s">
        <v>2501</v>
      </c>
    </row>
    <row r="130" s="737" customFormat="1" ht="18" customHeight="1" spans="1:39">
      <c r="A130" s="741">
        <v>45537</v>
      </c>
      <c r="B130" s="742" t="s">
        <v>2370</v>
      </c>
      <c r="C130" s="743">
        <v>1000022838</v>
      </c>
      <c r="D130" s="743"/>
      <c r="E130" s="743">
        <v>77486</v>
      </c>
      <c r="F130" s="743">
        <v>2808</v>
      </c>
      <c r="G130" s="744" t="s">
        <v>2420</v>
      </c>
      <c r="H130" s="744" t="s">
        <v>140</v>
      </c>
      <c r="I130" s="743"/>
      <c r="J130" s="749"/>
      <c r="K130" s="749"/>
      <c r="L130" s="749"/>
      <c r="M130" s="749"/>
      <c r="N130" s="749"/>
      <c r="O130" s="749"/>
      <c r="P130" s="749"/>
      <c r="Q130" s="749"/>
      <c r="R130" s="749"/>
      <c r="S130" s="749"/>
      <c r="T130" s="749"/>
      <c r="U130" s="749"/>
      <c r="V130" s="749"/>
      <c r="W130" s="749"/>
      <c r="X130" s="749"/>
      <c r="Y130" s="749"/>
      <c r="Z130" s="749"/>
      <c r="AA130" s="749"/>
      <c r="AB130" s="749"/>
      <c r="AC130" s="749"/>
      <c r="AD130" s="749"/>
      <c r="AE130" s="749"/>
      <c r="AF130" s="749">
        <v>2808</v>
      </c>
      <c r="AG130" s="749"/>
      <c r="AH130" s="749"/>
      <c r="AI130" s="749"/>
      <c r="AJ130" s="749"/>
      <c r="AK130" s="749"/>
      <c r="AL130" s="749"/>
      <c r="AM130" s="1305" t="s">
        <v>2501</v>
      </c>
    </row>
    <row r="131" s="737" customFormat="1" ht="18" customHeight="1" spans="1:39">
      <c r="A131" s="741">
        <v>45537</v>
      </c>
      <c r="B131" s="742" t="s">
        <v>2370</v>
      </c>
      <c r="C131" s="743">
        <v>1000022839</v>
      </c>
      <c r="D131" s="743"/>
      <c r="E131" s="743">
        <v>77486</v>
      </c>
      <c r="F131" s="743">
        <v>5000</v>
      </c>
      <c r="G131" s="744" t="s">
        <v>2456</v>
      </c>
      <c r="H131" s="744" t="s">
        <v>140</v>
      </c>
      <c r="I131" s="743"/>
      <c r="J131" s="749"/>
      <c r="K131" s="749"/>
      <c r="L131" s="749"/>
      <c r="M131" s="749"/>
      <c r="N131" s="749"/>
      <c r="O131" s="749"/>
      <c r="P131" s="749"/>
      <c r="Q131" s="749"/>
      <c r="R131" s="749"/>
      <c r="S131" s="749"/>
      <c r="T131" s="749"/>
      <c r="U131" s="749"/>
      <c r="V131" s="749"/>
      <c r="W131" s="749"/>
      <c r="X131" s="749"/>
      <c r="Y131" s="749"/>
      <c r="Z131" s="749"/>
      <c r="AA131" s="749"/>
      <c r="AB131" s="749"/>
      <c r="AC131" s="749"/>
      <c r="AD131" s="749"/>
      <c r="AE131" s="749"/>
      <c r="AF131" s="749"/>
      <c r="AG131" s="749"/>
      <c r="AH131" s="749">
        <v>5000</v>
      </c>
      <c r="AI131" s="749"/>
      <c r="AJ131" s="749"/>
      <c r="AK131" s="749"/>
      <c r="AL131" s="749"/>
      <c r="AM131" s="1305" t="s">
        <v>2501</v>
      </c>
    </row>
    <row r="132" s="737" customFormat="1" ht="18" customHeight="1" spans="1:39">
      <c r="A132" s="741">
        <v>45549</v>
      </c>
      <c r="B132" s="742" t="s">
        <v>2370</v>
      </c>
      <c r="C132" s="743">
        <v>1000023174</v>
      </c>
      <c r="D132" s="743" t="s">
        <v>2458</v>
      </c>
      <c r="E132" s="743" t="s">
        <v>2389</v>
      </c>
      <c r="F132" s="743">
        <v>500</v>
      </c>
      <c r="G132" s="744" t="s">
        <v>2387</v>
      </c>
      <c r="H132" s="744"/>
      <c r="I132" s="743"/>
      <c r="J132" s="749"/>
      <c r="K132" s="749"/>
      <c r="L132" s="749"/>
      <c r="M132" s="749"/>
      <c r="N132" s="749"/>
      <c r="O132" s="749"/>
      <c r="P132" s="749"/>
      <c r="Q132" s="749"/>
      <c r="R132" s="749"/>
      <c r="S132" s="749">
        <v>500</v>
      </c>
      <c r="T132" s="749"/>
      <c r="U132" s="749"/>
      <c r="V132" s="749"/>
      <c r="W132" s="749"/>
      <c r="X132" s="749"/>
      <c r="Y132" s="749"/>
      <c r="Z132" s="749"/>
      <c r="AA132" s="749"/>
      <c r="AB132" s="749"/>
      <c r="AC132" s="749"/>
      <c r="AD132" s="749"/>
      <c r="AE132" s="749"/>
      <c r="AF132" s="749"/>
      <c r="AG132" s="749"/>
      <c r="AH132" s="749"/>
      <c r="AI132" s="749"/>
      <c r="AJ132" s="749"/>
      <c r="AK132" s="749"/>
      <c r="AL132" s="749"/>
      <c r="AM132" s="756" t="s">
        <v>2502</v>
      </c>
    </row>
    <row r="133" s="737" customFormat="1" ht="18" customHeight="1" spans="1:39">
      <c r="A133" s="741">
        <v>45559</v>
      </c>
      <c r="B133" s="742" t="s">
        <v>2370</v>
      </c>
      <c r="C133" s="743" t="s">
        <v>2482</v>
      </c>
      <c r="D133" s="743" t="s">
        <v>2433</v>
      </c>
      <c r="E133" s="743">
        <v>77485</v>
      </c>
      <c r="F133" s="743">
        <v>100000</v>
      </c>
      <c r="G133" s="744" t="s">
        <v>2380</v>
      </c>
      <c r="H133" s="744" t="s">
        <v>2434</v>
      </c>
      <c r="I133" s="743" t="s">
        <v>2381</v>
      </c>
      <c r="J133" s="749">
        <v>100000</v>
      </c>
      <c r="K133" s="749"/>
      <c r="L133" s="749"/>
      <c r="M133" s="749"/>
      <c r="N133" s="749"/>
      <c r="O133" s="749"/>
      <c r="P133" s="749"/>
      <c r="Q133" s="749"/>
      <c r="R133" s="749"/>
      <c r="S133" s="749"/>
      <c r="T133" s="749"/>
      <c r="U133" s="749"/>
      <c r="V133" s="749"/>
      <c r="W133" s="749"/>
      <c r="X133" s="749"/>
      <c r="Y133" s="749"/>
      <c r="Z133" s="749"/>
      <c r="AA133" s="749"/>
      <c r="AB133" s="749"/>
      <c r="AC133" s="749"/>
      <c r="AD133" s="749"/>
      <c r="AE133" s="749"/>
      <c r="AF133" s="749"/>
      <c r="AG133" s="749"/>
      <c r="AH133" s="749"/>
      <c r="AI133" s="749"/>
      <c r="AJ133" s="749"/>
      <c r="AK133" s="749"/>
      <c r="AL133" s="749"/>
      <c r="AM133" s="756"/>
    </row>
    <row r="134" s="737" customFormat="1" ht="18" customHeight="1" spans="1:39">
      <c r="A134" s="741">
        <v>45559</v>
      </c>
      <c r="B134" s="742" t="s">
        <v>2370</v>
      </c>
      <c r="C134" s="743" t="s">
        <v>2503</v>
      </c>
      <c r="D134" s="743" t="s">
        <v>2433</v>
      </c>
      <c r="E134" s="743">
        <v>77485</v>
      </c>
      <c r="F134" s="743">
        <v>50000</v>
      </c>
      <c r="G134" s="744" t="s">
        <v>2383</v>
      </c>
      <c r="H134" s="744" t="s">
        <v>2437</v>
      </c>
      <c r="I134" s="743" t="s">
        <v>2384</v>
      </c>
      <c r="J134" s="749"/>
      <c r="K134" s="749"/>
      <c r="L134" s="749"/>
      <c r="M134" s="749"/>
      <c r="N134" s="749">
        <v>50000</v>
      </c>
      <c r="O134" s="749"/>
      <c r="P134" s="749"/>
      <c r="Q134" s="749"/>
      <c r="R134" s="749"/>
      <c r="S134" s="749"/>
      <c r="T134" s="749"/>
      <c r="U134" s="749"/>
      <c r="V134" s="749"/>
      <c r="W134" s="749"/>
      <c r="X134" s="749"/>
      <c r="Y134" s="749"/>
      <c r="Z134" s="749"/>
      <c r="AA134" s="749"/>
      <c r="AB134" s="749"/>
      <c r="AC134" s="749"/>
      <c r="AD134" s="749"/>
      <c r="AE134" s="749"/>
      <c r="AF134" s="749"/>
      <c r="AG134" s="749"/>
      <c r="AH134" s="749"/>
      <c r="AI134" s="749"/>
      <c r="AJ134" s="749"/>
      <c r="AK134" s="749"/>
      <c r="AL134" s="749"/>
      <c r="AM134" s="756"/>
    </row>
    <row r="135" s="737" customFormat="1" ht="18" customHeight="1" spans="1:39">
      <c r="A135" s="741">
        <v>45559</v>
      </c>
      <c r="B135" s="742" t="s">
        <v>2370</v>
      </c>
      <c r="C135" s="743" t="s">
        <v>2504</v>
      </c>
      <c r="D135" s="743" t="s">
        <v>2433</v>
      </c>
      <c r="E135" s="743" t="s">
        <v>2439</v>
      </c>
      <c r="F135" s="743">
        <v>1800</v>
      </c>
      <c r="G135" s="744" t="s">
        <v>2387</v>
      </c>
      <c r="H135" s="744" t="s">
        <v>2321</v>
      </c>
      <c r="I135" s="743" t="s">
        <v>2381</v>
      </c>
      <c r="J135" s="749"/>
      <c r="K135" s="749"/>
      <c r="L135" s="749"/>
      <c r="M135" s="749"/>
      <c r="N135" s="749"/>
      <c r="O135" s="749"/>
      <c r="P135" s="749"/>
      <c r="Q135" s="749"/>
      <c r="R135" s="749"/>
      <c r="S135" s="749"/>
      <c r="T135" s="749"/>
      <c r="U135" s="749"/>
      <c r="V135" s="749">
        <v>1800</v>
      </c>
      <c r="W135" s="749"/>
      <c r="X135" s="749"/>
      <c r="Y135" s="749"/>
      <c r="Z135" s="749"/>
      <c r="AA135" s="749"/>
      <c r="AB135" s="749"/>
      <c r="AC135" s="749"/>
      <c r="AD135" s="749"/>
      <c r="AE135" s="749"/>
      <c r="AF135" s="749"/>
      <c r="AG135" s="749"/>
      <c r="AH135" s="749"/>
      <c r="AI135" s="749"/>
      <c r="AJ135" s="749"/>
      <c r="AK135" s="749"/>
      <c r="AL135" s="749"/>
      <c r="AM135" s="756"/>
    </row>
    <row r="136" s="737" customFormat="1" ht="18" customHeight="1" spans="1:39">
      <c r="A136" s="741">
        <v>45559</v>
      </c>
      <c r="B136" s="742" t="s">
        <v>2370</v>
      </c>
      <c r="C136" s="743" t="s">
        <v>2505</v>
      </c>
      <c r="D136" s="743" t="s">
        <v>2433</v>
      </c>
      <c r="E136" s="743" t="s">
        <v>2442</v>
      </c>
      <c r="F136" s="743">
        <v>500</v>
      </c>
      <c r="G136" s="744" t="s">
        <v>2387</v>
      </c>
      <c r="H136" s="744" t="s">
        <v>2321</v>
      </c>
      <c r="I136" s="743" t="s">
        <v>2381</v>
      </c>
      <c r="J136" s="749"/>
      <c r="K136" s="749"/>
      <c r="L136" s="749"/>
      <c r="M136" s="749"/>
      <c r="N136" s="749"/>
      <c r="O136" s="749"/>
      <c r="P136" s="749"/>
      <c r="Q136" s="749"/>
      <c r="R136" s="749"/>
      <c r="S136" s="749"/>
      <c r="T136" s="749"/>
      <c r="U136" s="749"/>
      <c r="V136" s="749"/>
      <c r="W136" s="749"/>
      <c r="X136" s="749">
        <v>500</v>
      </c>
      <c r="Y136" s="749"/>
      <c r="Z136" s="749"/>
      <c r="AA136" s="749"/>
      <c r="AB136" s="749"/>
      <c r="AC136" s="749"/>
      <c r="AD136" s="749"/>
      <c r="AE136" s="749"/>
      <c r="AF136" s="749"/>
      <c r="AG136" s="749"/>
      <c r="AH136" s="749"/>
      <c r="AI136" s="749"/>
      <c r="AJ136" s="749"/>
      <c r="AK136" s="749"/>
      <c r="AL136" s="749"/>
      <c r="AM136" s="756"/>
    </row>
    <row r="137" s="737" customFormat="1" ht="18" customHeight="1" spans="1:39">
      <c r="A137" s="741">
        <v>45575</v>
      </c>
      <c r="B137" s="742" t="s">
        <v>2370</v>
      </c>
      <c r="C137" s="743" t="s">
        <v>2506</v>
      </c>
      <c r="D137" s="743" t="s">
        <v>2458</v>
      </c>
      <c r="E137" s="743" t="s">
        <v>2386</v>
      </c>
      <c r="F137" s="743">
        <v>1519</v>
      </c>
      <c r="G137" s="744" t="s">
        <v>2387</v>
      </c>
      <c r="H137" s="744" t="s">
        <v>2321</v>
      </c>
      <c r="I137" s="743" t="s">
        <v>2381</v>
      </c>
      <c r="J137" s="749"/>
      <c r="K137" s="749"/>
      <c r="L137" s="749"/>
      <c r="M137" s="749"/>
      <c r="N137" s="749"/>
      <c r="O137" s="749"/>
      <c r="P137" s="749">
        <v>1519</v>
      </c>
      <c r="Q137" s="749"/>
      <c r="R137" s="749"/>
      <c r="S137" s="749"/>
      <c r="T137" s="749"/>
      <c r="U137" s="749"/>
      <c r="V137" s="749"/>
      <c r="W137" s="749"/>
      <c r="X137" s="749"/>
      <c r="Y137" s="749"/>
      <c r="Z137" s="749"/>
      <c r="AA137" s="749"/>
      <c r="AB137" s="749"/>
      <c r="AC137" s="749"/>
      <c r="AD137" s="749"/>
      <c r="AE137" s="749"/>
      <c r="AF137" s="749"/>
      <c r="AG137" s="749"/>
      <c r="AH137" s="749"/>
      <c r="AI137" s="749"/>
      <c r="AJ137" s="749"/>
      <c r="AK137" s="749"/>
      <c r="AL137" s="749"/>
      <c r="AM137" s="756" t="s">
        <v>2507</v>
      </c>
    </row>
    <row r="138" s="737" customFormat="1" ht="18" customHeight="1" spans="1:39">
      <c r="A138" s="741">
        <v>45577</v>
      </c>
      <c r="B138" s="742" t="s">
        <v>2370</v>
      </c>
      <c r="C138" s="743" t="s">
        <v>2508</v>
      </c>
      <c r="D138" s="743" t="s">
        <v>2458</v>
      </c>
      <c r="E138" s="743">
        <v>77485</v>
      </c>
      <c r="F138" s="743">
        <v>20000</v>
      </c>
      <c r="G138" s="744" t="s">
        <v>2377</v>
      </c>
      <c r="H138" s="744" t="s">
        <v>140</v>
      </c>
      <c r="I138" s="743"/>
      <c r="J138" s="749"/>
      <c r="K138" s="749"/>
      <c r="L138" s="749"/>
      <c r="M138" s="749"/>
      <c r="N138" s="749"/>
      <c r="O138" s="749">
        <v>20000</v>
      </c>
      <c r="P138" s="749"/>
      <c r="Q138" s="749"/>
      <c r="R138" s="749"/>
      <c r="S138" s="749"/>
      <c r="T138" s="749"/>
      <c r="U138" s="749"/>
      <c r="V138" s="749"/>
      <c r="W138" s="749"/>
      <c r="X138" s="749"/>
      <c r="Y138" s="749"/>
      <c r="Z138" s="749"/>
      <c r="AA138" s="749"/>
      <c r="AB138" s="749"/>
      <c r="AC138" s="749"/>
      <c r="AD138" s="749"/>
      <c r="AE138" s="749"/>
      <c r="AF138" s="749"/>
      <c r="AG138" s="749"/>
      <c r="AH138" s="749"/>
      <c r="AI138" s="749"/>
      <c r="AJ138" s="749"/>
      <c r="AK138" s="749"/>
      <c r="AL138" s="749"/>
      <c r="AM138" s="756" t="s">
        <v>2509</v>
      </c>
    </row>
    <row r="139" s="737" customFormat="1" ht="18" customHeight="1" spans="1:39">
      <c r="A139" s="741">
        <v>45593</v>
      </c>
      <c r="B139" s="742" t="s">
        <v>2370</v>
      </c>
      <c r="C139" s="743" t="s">
        <v>2510</v>
      </c>
      <c r="D139" s="743" t="s">
        <v>2458</v>
      </c>
      <c r="E139" s="743" t="s">
        <v>2389</v>
      </c>
      <c r="F139" s="743">
        <v>1996</v>
      </c>
      <c r="G139" s="744" t="s">
        <v>2387</v>
      </c>
      <c r="H139" s="744" t="s">
        <v>140</v>
      </c>
      <c r="I139" s="743"/>
      <c r="J139" s="749"/>
      <c r="K139" s="749"/>
      <c r="L139" s="749"/>
      <c r="M139" s="749"/>
      <c r="N139" s="749"/>
      <c r="O139" s="749"/>
      <c r="P139" s="749"/>
      <c r="Q139" s="749"/>
      <c r="R139" s="749"/>
      <c r="S139" s="749">
        <v>1996</v>
      </c>
      <c r="T139" s="749"/>
      <c r="U139" s="749"/>
      <c r="V139" s="749"/>
      <c r="W139" s="749"/>
      <c r="X139" s="749"/>
      <c r="Y139" s="749"/>
      <c r="Z139" s="749"/>
      <c r="AA139" s="749"/>
      <c r="AB139" s="749"/>
      <c r="AC139" s="749"/>
      <c r="AD139" s="749"/>
      <c r="AE139" s="749"/>
      <c r="AF139" s="749"/>
      <c r="AG139" s="749"/>
      <c r="AH139" s="749"/>
      <c r="AI139" s="749"/>
      <c r="AJ139" s="749"/>
      <c r="AK139" s="749"/>
      <c r="AL139" s="749"/>
      <c r="AM139" s="756" t="s">
        <v>2511</v>
      </c>
    </row>
    <row r="140" s="737" customFormat="1" ht="18" customHeight="1" spans="1:39">
      <c r="A140" s="741">
        <v>45593</v>
      </c>
      <c r="B140" s="742" t="s">
        <v>2370</v>
      </c>
      <c r="C140" s="743" t="s">
        <v>2512</v>
      </c>
      <c r="D140" s="743" t="s">
        <v>2458</v>
      </c>
      <c r="E140" s="743">
        <v>77485</v>
      </c>
      <c r="F140" s="743">
        <v>20000</v>
      </c>
      <c r="G140" s="744" t="s">
        <v>2377</v>
      </c>
      <c r="H140" s="744" t="s">
        <v>140</v>
      </c>
      <c r="I140" s="743"/>
      <c r="J140" s="749"/>
      <c r="K140" s="749"/>
      <c r="L140" s="749"/>
      <c r="M140" s="749"/>
      <c r="N140" s="749"/>
      <c r="O140" s="749">
        <v>20000</v>
      </c>
      <c r="P140" s="749"/>
      <c r="Q140" s="749"/>
      <c r="R140" s="749"/>
      <c r="S140" s="749"/>
      <c r="T140" s="749"/>
      <c r="U140" s="749"/>
      <c r="V140" s="749"/>
      <c r="W140" s="749"/>
      <c r="X140" s="749"/>
      <c r="Y140" s="749"/>
      <c r="Z140" s="749"/>
      <c r="AA140" s="749"/>
      <c r="AB140" s="749"/>
      <c r="AC140" s="749"/>
      <c r="AD140" s="749"/>
      <c r="AE140" s="749"/>
      <c r="AF140" s="749"/>
      <c r="AG140" s="749"/>
      <c r="AH140" s="749"/>
      <c r="AI140" s="749"/>
      <c r="AJ140" s="749"/>
      <c r="AK140" s="749"/>
      <c r="AL140" s="749"/>
      <c r="AM140" s="756" t="s">
        <v>2513</v>
      </c>
    </row>
    <row r="141" s="737" customFormat="1" ht="18" customHeight="1" spans="1:39">
      <c r="A141" s="741">
        <v>45594</v>
      </c>
      <c r="B141" s="742" t="s">
        <v>2370</v>
      </c>
      <c r="C141" s="743" t="s">
        <v>2514</v>
      </c>
      <c r="D141" s="743" t="s">
        <v>2485</v>
      </c>
      <c r="E141" s="743" t="s">
        <v>2386</v>
      </c>
      <c r="F141" s="743">
        <v>500</v>
      </c>
      <c r="G141" s="744" t="s">
        <v>2387</v>
      </c>
      <c r="H141" s="744" t="s">
        <v>140</v>
      </c>
      <c r="I141" s="743"/>
      <c r="J141" s="749"/>
      <c r="K141" s="749"/>
      <c r="L141" s="749"/>
      <c r="M141" s="749"/>
      <c r="N141" s="749"/>
      <c r="O141" s="749"/>
      <c r="P141" s="749">
        <v>500</v>
      </c>
      <c r="Q141" s="749"/>
      <c r="R141" s="749"/>
      <c r="S141" s="749"/>
      <c r="T141" s="749"/>
      <c r="U141" s="749"/>
      <c r="V141" s="749"/>
      <c r="W141" s="749"/>
      <c r="X141" s="749"/>
      <c r="Y141" s="749"/>
      <c r="Z141" s="749"/>
      <c r="AA141" s="749"/>
      <c r="AB141" s="749"/>
      <c r="AC141" s="749"/>
      <c r="AD141" s="749"/>
      <c r="AE141" s="749"/>
      <c r="AF141" s="749"/>
      <c r="AG141" s="749"/>
      <c r="AH141" s="749"/>
      <c r="AI141" s="749"/>
      <c r="AJ141" s="749"/>
      <c r="AK141" s="749"/>
      <c r="AL141" s="749"/>
      <c r="AM141" s="756" t="s">
        <v>2515</v>
      </c>
    </row>
    <row r="142" s="737" customFormat="1" ht="18" customHeight="1" spans="1:39">
      <c r="A142" s="741">
        <v>45595</v>
      </c>
      <c r="B142" s="742" t="s">
        <v>2370</v>
      </c>
      <c r="C142" s="743" t="s">
        <v>2482</v>
      </c>
      <c r="D142" s="743" t="s">
        <v>2433</v>
      </c>
      <c r="E142" s="743">
        <v>77485</v>
      </c>
      <c r="F142" s="743">
        <v>150000</v>
      </c>
      <c r="G142" s="744" t="s">
        <v>2380</v>
      </c>
      <c r="H142" s="744" t="s">
        <v>2434</v>
      </c>
      <c r="I142" s="743" t="s">
        <v>2381</v>
      </c>
      <c r="J142" s="749">
        <v>150000</v>
      </c>
      <c r="K142" s="749"/>
      <c r="L142" s="749"/>
      <c r="M142" s="749"/>
      <c r="N142" s="749"/>
      <c r="O142" s="749"/>
      <c r="P142" s="749"/>
      <c r="Q142" s="749"/>
      <c r="R142" s="749"/>
      <c r="S142" s="749"/>
      <c r="T142" s="749"/>
      <c r="U142" s="749"/>
      <c r="V142" s="749"/>
      <c r="W142" s="749"/>
      <c r="X142" s="749"/>
      <c r="Y142" s="749"/>
      <c r="Z142" s="749"/>
      <c r="AA142" s="749"/>
      <c r="AB142" s="749"/>
      <c r="AC142" s="749"/>
      <c r="AD142" s="749"/>
      <c r="AE142" s="749"/>
      <c r="AF142" s="749"/>
      <c r="AG142" s="749"/>
      <c r="AH142" s="749"/>
      <c r="AI142" s="749"/>
      <c r="AJ142" s="749"/>
      <c r="AK142" s="749"/>
      <c r="AL142" s="749"/>
      <c r="AM142" s="756"/>
    </row>
    <row r="143" s="737" customFormat="1" ht="18" customHeight="1" spans="1:39">
      <c r="A143" s="741">
        <v>45595</v>
      </c>
      <c r="B143" s="742" t="s">
        <v>2370</v>
      </c>
      <c r="C143" s="743" t="s">
        <v>2516</v>
      </c>
      <c r="D143" s="743" t="s">
        <v>2433</v>
      </c>
      <c r="E143" s="743">
        <v>77485</v>
      </c>
      <c r="F143" s="743">
        <v>100000</v>
      </c>
      <c r="G143" s="744" t="s">
        <v>2383</v>
      </c>
      <c r="H143" s="744" t="s">
        <v>2437</v>
      </c>
      <c r="I143" s="743" t="s">
        <v>2384</v>
      </c>
      <c r="J143" s="749"/>
      <c r="K143" s="749"/>
      <c r="L143" s="749"/>
      <c r="M143" s="749"/>
      <c r="N143" s="749">
        <v>100000</v>
      </c>
      <c r="O143" s="749"/>
      <c r="P143" s="749"/>
      <c r="Q143" s="749"/>
      <c r="R143" s="749"/>
      <c r="S143" s="749"/>
      <c r="T143" s="749"/>
      <c r="U143" s="749"/>
      <c r="V143" s="749"/>
      <c r="W143" s="749"/>
      <c r="X143" s="749"/>
      <c r="Y143" s="749"/>
      <c r="Z143" s="749"/>
      <c r="AA143" s="749"/>
      <c r="AB143" s="749"/>
      <c r="AC143" s="749"/>
      <c r="AD143" s="749"/>
      <c r="AE143" s="749"/>
      <c r="AF143" s="749"/>
      <c r="AG143" s="749"/>
      <c r="AH143" s="749"/>
      <c r="AI143" s="749"/>
      <c r="AJ143" s="749"/>
      <c r="AK143" s="749"/>
      <c r="AL143" s="749"/>
      <c r="AM143" s="756"/>
    </row>
    <row r="144" s="737" customFormat="1" ht="18" customHeight="1" spans="1:39">
      <c r="A144" s="741">
        <v>45604</v>
      </c>
      <c r="B144" s="742" t="s">
        <v>2370</v>
      </c>
      <c r="C144" s="743" t="s">
        <v>2517</v>
      </c>
      <c r="D144" s="743" t="s">
        <v>2458</v>
      </c>
      <c r="E144" s="743" t="s">
        <v>2389</v>
      </c>
      <c r="F144" s="743">
        <v>500</v>
      </c>
      <c r="G144" s="744" t="s">
        <v>2387</v>
      </c>
      <c r="H144" s="744" t="s">
        <v>140</v>
      </c>
      <c r="I144" s="743"/>
      <c r="J144" s="749"/>
      <c r="K144" s="749"/>
      <c r="L144" s="749"/>
      <c r="M144" s="749"/>
      <c r="N144" s="749"/>
      <c r="O144" s="749"/>
      <c r="P144" s="749"/>
      <c r="Q144" s="749"/>
      <c r="R144" s="749"/>
      <c r="S144" s="749"/>
      <c r="T144" s="749"/>
      <c r="U144" s="749"/>
      <c r="V144" s="749"/>
      <c r="W144" s="749"/>
      <c r="X144" s="749"/>
      <c r="Y144" s="749"/>
      <c r="Z144" s="749"/>
      <c r="AA144" s="749"/>
      <c r="AB144" s="749"/>
      <c r="AC144" s="749"/>
      <c r="AD144" s="749"/>
      <c r="AE144" s="749"/>
      <c r="AF144" s="749"/>
      <c r="AG144" s="749"/>
      <c r="AH144" s="749"/>
      <c r="AI144" s="749"/>
      <c r="AJ144" s="749"/>
      <c r="AK144" s="749"/>
      <c r="AL144" s="749"/>
      <c r="AM144" s="756" t="s">
        <v>2518</v>
      </c>
    </row>
    <row r="145" s="737" customFormat="1" ht="18" customHeight="1" spans="1:39">
      <c r="A145" s="741">
        <v>45608</v>
      </c>
      <c r="B145" s="742" t="s">
        <v>2370</v>
      </c>
      <c r="C145" s="743" t="s">
        <v>2519</v>
      </c>
      <c r="D145" s="743" t="s">
        <v>2485</v>
      </c>
      <c r="E145" s="743">
        <v>77486</v>
      </c>
      <c r="F145" s="743">
        <v>12000</v>
      </c>
      <c r="G145" s="744" t="s">
        <v>2422</v>
      </c>
      <c r="H145" s="744"/>
      <c r="I145" s="743"/>
      <c r="J145" s="749"/>
      <c r="K145" s="749"/>
      <c r="L145" s="749"/>
      <c r="M145" s="749"/>
      <c r="N145" s="749"/>
      <c r="O145" s="749"/>
      <c r="P145" s="749"/>
      <c r="Q145" s="749"/>
      <c r="R145" s="749"/>
      <c r="S145" s="749"/>
      <c r="T145" s="749"/>
      <c r="U145" s="749"/>
      <c r="V145" s="749"/>
      <c r="W145" s="749"/>
      <c r="X145" s="749"/>
      <c r="Y145" s="749"/>
      <c r="Z145" s="749"/>
      <c r="AA145" s="749"/>
      <c r="AB145" s="749"/>
      <c r="AC145" s="749"/>
      <c r="AD145" s="749"/>
      <c r="AE145" s="749"/>
      <c r="AF145" s="749"/>
      <c r="AG145" s="749">
        <v>12000</v>
      </c>
      <c r="AH145" s="749"/>
      <c r="AI145" s="749"/>
      <c r="AJ145" s="749"/>
      <c r="AK145" s="749"/>
      <c r="AL145" s="749"/>
      <c r="AM145" s="756" t="s">
        <v>2520</v>
      </c>
    </row>
    <row r="146" s="737" customFormat="1" ht="18" customHeight="1" spans="1:39">
      <c r="A146" s="741">
        <v>45608</v>
      </c>
      <c r="B146" s="742" t="s">
        <v>2370</v>
      </c>
      <c r="C146" s="743" t="s">
        <v>2521</v>
      </c>
      <c r="D146" s="743" t="s">
        <v>2485</v>
      </c>
      <c r="E146" s="743">
        <v>77486</v>
      </c>
      <c r="F146" s="743">
        <v>12000</v>
      </c>
      <c r="G146" s="744" t="s">
        <v>2420</v>
      </c>
      <c r="H146" s="744"/>
      <c r="I146" s="743"/>
      <c r="J146" s="749"/>
      <c r="K146" s="749"/>
      <c r="L146" s="749"/>
      <c r="M146" s="749"/>
      <c r="N146" s="749"/>
      <c r="O146" s="749"/>
      <c r="P146" s="749"/>
      <c r="Q146" s="749"/>
      <c r="R146" s="749"/>
      <c r="S146" s="749"/>
      <c r="T146" s="749"/>
      <c r="U146" s="749"/>
      <c r="V146" s="749"/>
      <c r="W146" s="749"/>
      <c r="X146" s="749"/>
      <c r="Y146" s="749"/>
      <c r="Z146" s="749"/>
      <c r="AA146" s="749"/>
      <c r="AB146" s="749"/>
      <c r="AC146" s="749"/>
      <c r="AD146" s="749"/>
      <c r="AE146" s="749"/>
      <c r="AF146" s="749">
        <v>12000</v>
      </c>
      <c r="AG146" s="749"/>
      <c r="AH146" s="749"/>
      <c r="AI146" s="749"/>
      <c r="AJ146" s="749"/>
      <c r="AK146" s="749"/>
      <c r="AL146" s="749"/>
      <c r="AM146" s="756" t="s">
        <v>2520</v>
      </c>
    </row>
    <row r="147" s="737" customFormat="1" ht="18" customHeight="1" spans="1:39">
      <c r="A147" s="741">
        <v>45608</v>
      </c>
      <c r="B147" s="742" t="s">
        <v>2370</v>
      </c>
      <c r="C147" s="743" t="s">
        <v>2522</v>
      </c>
      <c r="D147" s="743" t="s">
        <v>2485</v>
      </c>
      <c r="E147" s="743">
        <v>77486</v>
      </c>
      <c r="F147" s="743">
        <v>12000</v>
      </c>
      <c r="G147" s="744" t="s">
        <v>2456</v>
      </c>
      <c r="H147" s="744"/>
      <c r="I147" s="743"/>
      <c r="J147" s="749"/>
      <c r="K147" s="749"/>
      <c r="L147" s="749"/>
      <c r="M147" s="749"/>
      <c r="N147" s="749"/>
      <c r="O147" s="749"/>
      <c r="P147" s="749"/>
      <c r="Q147" s="749"/>
      <c r="R147" s="749"/>
      <c r="S147" s="749"/>
      <c r="T147" s="749"/>
      <c r="U147" s="749"/>
      <c r="V147" s="749"/>
      <c r="W147" s="749"/>
      <c r="X147" s="749"/>
      <c r="Y147" s="749"/>
      <c r="Z147" s="749"/>
      <c r="AA147" s="749"/>
      <c r="AB147" s="749"/>
      <c r="AC147" s="749"/>
      <c r="AD147" s="749"/>
      <c r="AE147" s="749"/>
      <c r="AF147" s="749"/>
      <c r="AG147" s="749"/>
      <c r="AH147" s="749">
        <v>12000</v>
      </c>
      <c r="AI147" s="749"/>
      <c r="AJ147" s="749"/>
      <c r="AK147" s="749"/>
      <c r="AL147" s="749"/>
      <c r="AM147" s="756" t="s">
        <v>2520</v>
      </c>
    </row>
    <row r="148" s="737" customFormat="1" ht="18" customHeight="1" spans="1:39">
      <c r="A148" s="741">
        <v>45611</v>
      </c>
      <c r="B148" s="742" t="s">
        <v>2370</v>
      </c>
      <c r="C148" s="743" t="s">
        <v>2482</v>
      </c>
      <c r="D148" s="743" t="s">
        <v>2433</v>
      </c>
      <c r="E148" s="743">
        <v>77485</v>
      </c>
      <c r="F148" s="743">
        <v>50000</v>
      </c>
      <c r="G148" s="744" t="s">
        <v>2380</v>
      </c>
      <c r="H148" s="744" t="s">
        <v>2434</v>
      </c>
      <c r="I148" s="743" t="s">
        <v>2381</v>
      </c>
      <c r="J148" s="749">
        <v>50000</v>
      </c>
      <c r="K148" s="749"/>
      <c r="L148" s="749"/>
      <c r="M148" s="749"/>
      <c r="N148" s="749"/>
      <c r="O148" s="749"/>
      <c r="P148" s="749"/>
      <c r="Q148" s="749"/>
      <c r="R148" s="749"/>
      <c r="S148" s="749"/>
      <c r="T148" s="749"/>
      <c r="U148" s="749"/>
      <c r="V148" s="749"/>
      <c r="W148" s="749"/>
      <c r="X148" s="749"/>
      <c r="Y148" s="749"/>
      <c r="Z148" s="749"/>
      <c r="AA148" s="749"/>
      <c r="AB148" s="749"/>
      <c r="AC148" s="749"/>
      <c r="AD148" s="749"/>
      <c r="AE148" s="749"/>
      <c r="AF148" s="749"/>
      <c r="AG148" s="749"/>
      <c r="AH148" s="749"/>
      <c r="AI148" s="749"/>
      <c r="AJ148" s="749"/>
      <c r="AK148" s="749"/>
      <c r="AL148" s="749"/>
      <c r="AM148" s="756"/>
    </row>
    <row r="149" s="737" customFormat="1" ht="18" customHeight="1" spans="1:39">
      <c r="A149" s="741">
        <v>45611</v>
      </c>
      <c r="B149" s="742" t="s">
        <v>2370</v>
      </c>
      <c r="C149" s="743" t="s">
        <v>2523</v>
      </c>
      <c r="D149" s="743" t="s">
        <v>2433</v>
      </c>
      <c r="E149" s="743">
        <v>77485</v>
      </c>
      <c r="F149" s="743">
        <v>50000</v>
      </c>
      <c r="G149" s="744" t="s">
        <v>2383</v>
      </c>
      <c r="H149" s="744" t="s">
        <v>2437</v>
      </c>
      <c r="I149" s="743" t="s">
        <v>2384</v>
      </c>
      <c r="J149" s="749"/>
      <c r="K149" s="749"/>
      <c r="L149" s="749"/>
      <c r="M149" s="749"/>
      <c r="N149" s="749">
        <v>50000</v>
      </c>
      <c r="O149" s="749"/>
      <c r="P149" s="749"/>
      <c r="Q149" s="749"/>
      <c r="R149" s="749"/>
      <c r="S149" s="749"/>
      <c r="T149" s="749"/>
      <c r="U149" s="749"/>
      <c r="V149" s="749"/>
      <c r="W149" s="749"/>
      <c r="X149" s="749"/>
      <c r="Y149" s="749"/>
      <c r="Z149" s="749"/>
      <c r="AA149" s="749"/>
      <c r="AB149" s="749"/>
      <c r="AC149" s="749"/>
      <c r="AD149" s="749"/>
      <c r="AE149" s="749"/>
      <c r="AF149" s="749"/>
      <c r="AG149" s="749"/>
      <c r="AH149" s="749"/>
      <c r="AI149" s="749"/>
      <c r="AJ149" s="749"/>
      <c r="AK149" s="749"/>
      <c r="AL149" s="749"/>
      <c r="AM149" s="756"/>
    </row>
    <row r="150" s="737" customFormat="1" ht="18" customHeight="1" spans="1:39">
      <c r="A150" s="741">
        <v>45611</v>
      </c>
      <c r="B150" s="742" t="s">
        <v>2370</v>
      </c>
      <c r="C150" s="743" t="s">
        <v>2524</v>
      </c>
      <c r="D150" s="743" t="s">
        <v>2433</v>
      </c>
      <c r="E150" s="743" t="s">
        <v>2439</v>
      </c>
      <c r="F150" s="743">
        <v>1000</v>
      </c>
      <c r="G150" s="744" t="s">
        <v>2387</v>
      </c>
      <c r="H150" s="744" t="s">
        <v>2321</v>
      </c>
      <c r="I150" s="743" t="s">
        <v>2381</v>
      </c>
      <c r="J150" s="749"/>
      <c r="K150" s="749"/>
      <c r="L150" s="749"/>
      <c r="M150" s="749"/>
      <c r="N150" s="749"/>
      <c r="O150" s="749"/>
      <c r="P150" s="749"/>
      <c r="Q150" s="749"/>
      <c r="R150" s="749"/>
      <c r="S150" s="749"/>
      <c r="T150" s="749"/>
      <c r="U150" s="749"/>
      <c r="V150" s="749">
        <v>1000</v>
      </c>
      <c r="W150" s="749"/>
      <c r="X150" s="749"/>
      <c r="Y150" s="749"/>
      <c r="Z150" s="749"/>
      <c r="AA150" s="749"/>
      <c r="AB150" s="749"/>
      <c r="AC150" s="749"/>
      <c r="AD150" s="749"/>
      <c r="AE150" s="749"/>
      <c r="AF150" s="749"/>
      <c r="AG150" s="749"/>
      <c r="AH150" s="749"/>
      <c r="AI150" s="749"/>
      <c r="AJ150" s="749"/>
      <c r="AK150" s="749"/>
      <c r="AL150" s="749"/>
      <c r="AM150" s="756"/>
    </row>
    <row r="151" s="737" customFormat="1" ht="18" customHeight="1" spans="1:39">
      <c r="A151" s="741">
        <v>45611</v>
      </c>
      <c r="B151" s="742" t="s">
        <v>2370</v>
      </c>
      <c r="C151" s="743" t="s">
        <v>2525</v>
      </c>
      <c r="D151" s="743" t="s">
        <v>2433</v>
      </c>
      <c r="E151" s="743" t="s">
        <v>2442</v>
      </c>
      <c r="F151" s="743">
        <v>500</v>
      </c>
      <c r="G151" s="744" t="s">
        <v>2387</v>
      </c>
      <c r="H151" s="744" t="s">
        <v>2321</v>
      </c>
      <c r="I151" s="743" t="s">
        <v>2381</v>
      </c>
      <c r="J151" s="749"/>
      <c r="K151" s="749"/>
      <c r="L151" s="749"/>
      <c r="M151" s="749"/>
      <c r="N151" s="749"/>
      <c r="O151" s="749"/>
      <c r="P151" s="749"/>
      <c r="Q151" s="749"/>
      <c r="R151" s="749"/>
      <c r="S151" s="749"/>
      <c r="T151" s="749"/>
      <c r="U151" s="749"/>
      <c r="V151" s="749"/>
      <c r="W151" s="749"/>
      <c r="X151" s="749">
        <v>500</v>
      </c>
      <c r="Y151" s="749"/>
      <c r="Z151" s="749"/>
      <c r="AA151" s="749"/>
      <c r="AB151" s="749"/>
      <c r="AC151" s="749"/>
      <c r="AD151" s="749"/>
      <c r="AE151" s="749"/>
      <c r="AF151" s="749"/>
      <c r="AG151" s="749"/>
      <c r="AH151" s="749"/>
      <c r="AI151" s="749"/>
      <c r="AJ151" s="749"/>
      <c r="AK151" s="749"/>
      <c r="AL151" s="749"/>
      <c r="AM151" s="756"/>
    </row>
    <row r="152" s="737" customFormat="1" ht="18" customHeight="1" spans="1:39">
      <c r="A152" s="741">
        <v>45611</v>
      </c>
      <c r="B152" s="742" t="s">
        <v>2370</v>
      </c>
      <c r="C152" s="743" t="s">
        <v>2526</v>
      </c>
      <c r="D152" s="743"/>
      <c r="E152" s="743" t="s">
        <v>2424</v>
      </c>
      <c r="F152" s="743">
        <v>24000</v>
      </c>
      <c r="G152" s="744" t="s">
        <v>2486</v>
      </c>
      <c r="H152" s="744" t="s">
        <v>2321</v>
      </c>
      <c r="I152" s="743" t="s">
        <v>2381</v>
      </c>
      <c r="J152" s="749"/>
      <c r="K152" s="749">
        <v>24000</v>
      </c>
      <c r="L152" s="749"/>
      <c r="M152" s="749"/>
      <c r="N152" s="749"/>
      <c r="O152" s="749"/>
      <c r="P152" s="749"/>
      <c r="Q152" s="749"/>
      <c r="R152" s="749"/>
      <c r="S152" s="749"/>
      <c r="T152" s="749"/>
      <c r="U152" s="749"/>
      <c r="V152" s="749"/>
      <c r="W152" s="749"/>
      <c r="X152" s="749"/>
      <c r="Y152" s="749"/>
      <c r="Z152" s="749"/>
      <c r="AA152" s="749"/>
      <c r="AB152" s="749"/>
      <c r="AC152" s="749"/>
      <c r="AD152" s="749"/>
      <c r="AE152" s="749"/>
      <c r="AF152" s="749"/>
      <c r="AG152" s="749"/>
      <c r="AH152" s="749"/>
      <c r="AI152" s="749"/>
      <c r="AJ152" s="749"/>
      <c r="AK152" s="749"/>
      <c r="AL152" s="749"/>
      <c r="AM152" s="756"/>
    </row>
    <row r="153" s="737" customFormat="1" ht="18" customHeight="1" spans="1:39">
      <c r="A153" s="741">
        <v>45617</v>
      </c>
      <c r="B153" s="742" t="s">
        <v>2370</v>
      </c>
      <c r="C153" s="743" t="s">
        <v>2482</v>
      </c>
      <c r="D153" s="743" t="s">
        <v>2433</v>
      </c>
      <c r="E153" s="743">
        <v>77485</v>
      </c>
      <c r="F153" s="743">
        <v>20000</v>
      </c>
      <c r="G153" s="744" t="s">
        <v>2380</v>
      </c>
      <c r="H153" s="744" t="s">
        <v>2434</v>
      </c>
      <c r="I153" s="743" t="s">
        <v>2393</v>
      </c>
      <c r="J153" s="749"/>
      <c r="K153" s="749"/>
      <c r="L153" s="749"/>
      <c r="M153" s="749">
        <v>20000</v>
      </c>
      <c r="N153" s="749"/>
      <c r="O153" s="749"/>
      <c r="P153" s="749"/>
      <c r="Q153" s="749"/>
      <c r="R153" s="749"/>
      <c r="S153" s="749"/>
      <c r="T153" s="749"/>
      <c r="U153" s="749"/>
      <c r="V153" s="749"/>
      <c r="W153" s="749"/>
      <c r="X153" s="749"/>
      <c r="Y153" s="749"/>
      <c r="Z153" s="749"/>
      <c r="AA153" s="749"/>
      <c r="AB153" s="749"/>
      <c r="AC153" s="749"/>
      <c r="AD153" s="749"/>
      <c r="AE153" s="749"/>
      <c r="AF153" s="749"/>
      <c r="AG153" s="749"/>
      <c r="AH153" s="749"/>
      <c r="AI153" s="749"/>
      <c r="AJ153" s="749"/>
      <c r="AK153" s="749"/>
      <c r="AL153" s="749"/>
      <c r="AM153" s="756"/>
    </row>
    <row r="154" s="737" customFormat="1" ht="18" customHeight="1" spans="1:39">
      <c r="A154" s="741">
        <v>45617</v>
      </c>
      <c r="B154" s="742" t="s">
        <v>2370</v>
      </c>
      <c r="C154" s="743" t="s">
        <v>2527</v>
      </c>
      <c r="D154" s="743" t="s">
        <v>2433</v>
      </c>
      <c r="E154" s="743" t="s">
        <v>2439</v>
      </c>
      <c r="F154" s="743">
        <v>500</v>
      </c>
      <c r="G154" s="744" t="s">
        <v>2387</v>
      </c>
      <c r="H154" s="744" t="s">
        <v>2321</v>
      </c>
      <c r="I154" s="743" t="s">
        <v>2381</v>
      </c>
      <c r="J154" s="749"/>
      <c r="K154" s="749"/>
      <c r="L154" s="749"/>
      <c r="M154" s="749"/>
      <c r="N154" s="749"/>
      <c r="O154" s="749"/>
      <c r="P154" s="749"/>
      <c r="Q154" s="749"/>
      <c r="R154" s="749"/>
      <c r="S154" s="749"/>
      <c r="T154" s="749"/>
      <c r="U154" s="749"/>
      <c r="V154" s="749">
        <v>500</v>
      </c>
      <c r="W154" s="749"/>
      <c r="X154" s="749"/>
      <c r="Y154" s="749"/>
      <c r="Z154" s="749"/>
      <c r="AA154" s="749"/>
      <c r="AB154" s="749"/>
      <c r="AC154" s="749"/>
      <c r="AD154" s="749"/>
      <c r="AE154" s="749"/>
      <c r="AF154" s="749"/>
      <c r="AG154" s="749"/>
      <c r="AH154" s="749"/>
      <c r="AI154" s="749"/>
      <c r="AJ154" s="749"/>
      <c r="AK154" s="749"/>
      <c r="AL154" s="749"/>
      <c r="AM154" s="756"/>
    </row>
    <row r="155" s="737" customFormat="1" ht="18" customHeight="1" spans="1:39">
      <c r="A155" s="741">
        <v>45617</v>
      </c>
      <c r="B155" s="742" t="s">
        <v>2370</v>
      </c>
      <c r="C155" s="743" t="s">
        <v>2528</v>
      </c>
      <c r="D155" s="743" t="s">
        <v>2433</v>
      </c>
      <c r="E155" s="743" t="s">
        <v>2442</v>
      </c>
      <c r="F155" s="743">
        <v>1000</v>
      </c>
      <c r="G155" s="744" t="s">
        <v>2387</v>
      </c>
      <c r="H155" s="744" t="s">
        <v>2321</v>
      </c>
      <c r="I155" s="743" t="s">
        <v>2393</v>
      </c>
      <c r="J155" s="749"/>
      <c r="K155" s="749"/>
      <c r="L155" s="749"/>
      <c r="M155" s="749"/>
      <c r="N155" s="749"/>
      <c r="O155" s="749"/>
      <c r="P155" s="749"/>
      <c r="Q155" s="749"/>
      <c r="R155" s="749"/>
      <c r="S155" s="749"/>
      <c r="T155" s="749"/>
      <c r="U155" s="749"/>
      <c r="V155" s="749"/>
      <c r="W155" s="749"/>
      <c r="X155" s="749"/>
      <c r="Y155" s="749">
        <v>1000</v>
      </c>
      <c r="Z155" s="749"/>
      <c r="AA155" s="749"/>
      <c r="AB155" s="749"/>
      <c r="AC155" s="749"/>
      <c r="AD155" s="749"/>
      <c r="AE155" s="749"/>
      <c r="AF155" s="749"/>
      <c r="AG155" s="749"/>
      <c r="AH155" s="749"/>
      <c r="AI155" s="749"/>
      <c r="AJ155" s="749"/>
      <c r="AK155" s="749"/>
      <c r="AL155" s="749"/>
      <c r="AM155" s="756"/>
    </row>
    <row r="156" s="737" customFormat="1" ht="18" customHeight="1" spans="1:39">
      <c r="A156" s="741">
        <v>45621</v>
      </c>
      <c r="B156" s="742" t="s">
        <v>2370</v>
      </c>
      <c r="C156" s="743" t="s">
        <v>2529</v>
      </c>
      <c r="D156" s="743" t="s">
        <v>2458</v>
      </c>
      <c r="E156" s="743">
        <v>77485</v>
      </c>
      <c r="F156" s="743">
        <v>20000</v>
      </c>
      <c r="G156" s="744" t="s">
        <v>2377</v>
      </c>
      <c r="H156" s="744" t="s">
        <v>140</v>
      </c>
      <c r="I156" s="743" t="s">
        <v>140</v>
      </c>
      <c r="J156" s="749"/>
      <c r="K156" s="749"/>
      <c r="L156" s="749"/>
      <c r="M156" s="749"/>
      <c r="N156" s="749"/>
      <c r="O156" s="749">
        <v>20000</v>
      </c>
      <c r="P156" s="749"/>
      <c r="Q156" s="749"/>
      <c r="R156" s="749"/>
      <c r="S156" s="749"/>
      <c r="T156" s="749"/>
      <c r="U156" s="749"/>
      <c r="V156" s="749"/>
      <c r="W156" s="749"/>
      <c r="X156" s="749"/>
      <c r="Y156" s="749"/>
      <c r="Z156" s="749"/>
      <c r="AA156" s="749"/>
      <c r="AB156" s="749"/>
      <c r="AC156" s="749"/>
      <c r="AD156" s="749"/>
      <c r="AE156" s="749"/>
      <c r="AF156" s="749"/>
      <c r="AG156" s="749"/>
      <c r="AH156" s="749"/>
      <c r="AI156" s="749"/>
      <c r="AJ156" s="749"/>
      <c r="AK156" s="749"/>
      <c r="AL156" s="749"/>
      <c r="AM156" s="756" t="s">
        <v>2530</v>
      </c>
    </row>
    <row r="157" s="737" customFormat="1" ht="18" customHeight="1" spans="1:39">
      <c r="A157" s="741">
        <v>45621</v>
      </c>
      <c r="B157" s="742" t="s">
        <v>2370</v>
      </c>
      <c r="C157" s="743" t="s">
        <v>2531</v>
      </c>
      <c r="D157" s="743" t="s">
        <v>2458</v>
      </c>
      <c r="E157" s="743" t="s">
        <v>2389</v>
      </c>
      <c r="F157" s="743">
        <v>1996</v>
      </c>
      <c r="G157" s="744" t="s">
        <v>2387</v>
      </c>
      <c r="H157" s="744" t="s">
        <v>140</v>
      </c>
      <c r="I157" s="743" t="s">
        <v>140</v>
      </c>
      <c r="J157" s="749"/>
      <c r="K157" s="749"/>
      <c r="L157" s="749"/>
      <c r="M157" s="749"/>
      <c r="N157" s="749"/>
      <c r="O157" s="749"/>
      <c r="P157" s="749"/>
      <c r="Q157" s="749"/>
      <c r="R157" s="749"/>
      <c r="S157" s="749">
        <v>1996</v>
      </c>
      <c r="T157" s="749"/>
      <c r="U157" s="749"/>
      <c r="V157" s="749"/>
      <c r="W157" s="749"/>
      <c r="X157" s="749"/>
      <c r="Y157" s="749"/>
      <c r="Z157" s="749"/>
      <c r="AA157" s="749"/>
      <c r="AB157" s="749"/>
      <c r="AC157" s="749"/>
      <c r="AD157" s="749"/>
      <c r="AE157" s="749"/>
      <c r="AF157" s="749"/>
      <c r="AG157" s="749"/>
      <c r="AH157" s="749"/>
      <c r="AI157" s="749"/>
      <c r="AJ157" s="749"/>
      <c r="AK157" s="749"/>
      <c r="AL157" s="749"/>
      <c r="AM157" s="756" t="s">
        <v>2532</v>
      </c>
    </row>
    <row r="158" s="737" customFormat="1" ht="18" customHeight="1" spans="1:39">
      <c r="A158" s="741"/>
      <c r="B158" s="742"/>
      <c r="C158" s="743" t="s">
        <v>2533</v>
      </c>
      <c r="D158" s="743"/>
      <c r="E158" s="743" t="s">
        <v>2534</v>
      </c>
      <c r="F158" s="743">
        <v>1556</v>
      </c>
      <c r="G158" s="744" t="s">
        <v>2387</v>
      </c>
      <c r="H158" s="744" t="s">
        <v>140</v>
      </c>
      <c r="I158" s="743" t="s">
        <v>140</v>
      </c>
      <c r="J158" s="749"/>
      <c r="K158" s="749"/>
      <c r="L158" s="749"/>
      <c r="M158" s="749"/>
      <c r="N158" s="749"/>
      <c r="O158" s="749"/>
      <c r="P158" s="749"/>
      <c r="Q158" s="749"/>
      <c r="R158" s="749"/>
      <c r="S158" s="749"/>
      <c r="T158" s="749"/>
      <c r="U158" s="749">
        <v>1556</v>
      </c>
      <c r="V158" s="749"/>
      <c r="W158" s="749"/>
      <c r="X158" s="749"/>
      <c r="Y158" s="749"/>
      <c r="Z158" s="749"/>
      <c r="AA158" s="749"/>
      <c r="AB158" s="749"/>
      <c r="AC158" s="749"/>
      <c r="AD158" s="749"/>
      <c r="AE158" s="749"/>
      <c r="AF158" s="749"/>
      <c r="AG158" s="749"/>
      <c r="AH158" s="749"/>
      <c r="AI158" s="749"/>
      <c r="AJ158" s="749"/>
      <c r="AK158" s="749"/>
      <c r="AL158" s="749"/>
      <c r="AM158" s="756"/>
    </row>
    <row r="159" s="737" customFormat="1" ht="18" customHeight="1" spans="1:39">
      <c r="A159" s="741">
        <v>45637</v>
      </c>
      <c r="B159" s="742" t="s">
        <v>2370</v>
      </c>
      <c r="C159" s="743" t="s">
        <v>2535</v>
      </c>
      <c r="D159" s="743" t="s">
        <v>2458</v>
      </c>
      <c r="E159" s="743">
        <v>77485</v>
      </c>
      <c r="F159" s="743">
        <v>20000</v>
      </c>
      <c r="G159" s="744" t="s">
        <v>2377</v>
      </c>
      <c r="H159" s="744" t="s">
        <v>140</v>
      </c>
      <c r="I159" s="743" t="s">
        <v>140</v>
      </c>
      <c r="J159" s="749"/>
      <c r="K159" s="749"/>
      <c r="L159" s="749"/>
      <c r="M159" s="749"/>
      <c r="N159" s="749"/>
      <c r="O159" s="749">
        <v>20000</v>
      </c>
      <c r="P159" s="749"/>
      <c r="Q159" s="749"/>
      <c r="R159" s="749"/>
      <c r="S159" s="749"/>
      <c r="T159" s="749"/>
      <c r="U159" s="749"/>
      <c r="V159" s="749"/>
      <c r="W159" s="749"/>
      <c r="X159" s="749"/>
      <c r="Y159" s="749"/>
      <c r="Z159" s="749"/>
      <c r="AA159" s="749"/>
      <c r="AB159" s="749"/>
      <c r="AC159" s="749"/>
      <c r="AD159" s="749"/>
      <c r="AE159" s="749"/>
      <c r="AF159" s="749"/>
      <c r="AG159" s="749"/>
      <c r="AH159" s="749"/>
      <c r="AI159" s="749"/>
      <c r="AJ159" s="749"/>
      <c r="AK159" s="749"/>
      <c r="AL159" s="749"/>
      <c r="AM159" s="756" t="s">
        <v>2536</v>
      </c>
    </row>
    <row r="160" s="737" customFormat="1" ht="18" customHeight="1" spans="1:39">
      <c r="A160" s="741">
        <v>45637</v>
      </c>
      <c r="B160" s="742" t="s">
        <v>2370</v>
      </c>
      <c r="C160" s="743" t="s">
        <v>2537</v>
      </c>
      <c r="D160" s="743" t="s">
        <v>2458</v>
      </c>
      <c r="E160" s="743" t="s">
        <v>2389</v>
      </c>
      <c r="F160" s="743">
        <v>1248</v>
      </c>
      <c r="G160" s="744" t="s">
        <v>2387</v>
      </c>
      <c r="H160" s="744" t="s">
        <v>140</v>
      </c>
      <c r="I160" s="743" t="s">
        <v>140</v>
      </c>
      <c r="J160" s="749"/>
      <c r="K160" s="749"/>
      <c r="L160" s="749"/>
      <c r="M160" s="749"/>
      <c r="N160" s="749"/>
      <c r="O160" s="749"/>
      <c r="P160" s="749"/>
      <c r="Q160" s="749"/>
      <c r="R160" s="749"/>
      <c r="S160" s="749">
        <v>1248</v>
      </c>
      <c r="T160" s="749"/>
      <c r="U160" s="749"/>
      <c r="V160" s="749"/>
      <c r="W160" s="749"/>
      <c r="X160" s="749"/>
      <c r="Y160" s="749"/>
      <c r="Z160" s="749"/>
      <c r="AA160" s="749"/>
      <c r="AB160" s="749"/>
      <c r="AC160" s="749"/>
      <c r="AD160" s="749"/>
      <c r="AE160" s="749"/>
      <c r="AF160" s="749"/>
      <c r="AG160" s="749"/>
      <c r="AH160" s="749"/>
      <c r="AI160" s="749"/>
      <c r="AJ160" s="749"/>
      <c r="AK160" s="749"/>
      <c r="AL160" s="749"/>
      <c r="AM160" s="756" t="s">
        <v>2538</v>
      </c>
    </row>
    <row r="161" s="737" customFormat="1" ht="18" customHeight="1" spans="1:39">
      <c r="A161" s="741">
        <v>45649</v>
      </c>
      <c r="B161" s="742" t="s">
        <v>2370</v>
      </c>
      <c r="C161" s="743" t="s">
        <v>2539</v>
      </c>
      <c r="D161" s="743" t="s">
        <v>2458</v>
      </c>
      <c r="E161" s="743">
        <v>77485</v>
      </c>
      <c r="F161" s="743">
        <v>20000</v>
      </c>
      <c r="G161" s="744" t="s">
        <v>2377</v>
      </c>
      <c r="H161" s="744" t="s">
        <v>140</v>
      </c>
      <c r="I161" s="743" t="s">
        <v>140</v>
      </c>
      <c r="J161" s="749"/>
      <c r="K161" s="749"/>
      <c r="L161" s="749"/>
      <c r="M161" s="749"/>
      <c r="N161" s="749"/>
      <c r="O161" s="749">
        <v>20000</v>
      </c>
      <c r="P161" s="749"/>
      <c r="Q161" s="749"/>
      <c r="R161" s="749"/>
      <c r="S161" s="749"/>
      <c r="T161" s="749"/>
      <c r="U161" s="749"/>
      <c r="V161" s="749"/>
      <c r="W161" s="749"/>
      <c r="X161" s="749"/>
      <c r="Y161" s="749"/>
      <c r="Z161" s="749"/>
      <c r="AA161" s="749"/>
      <c r="AB161" s="749"/>
      <c r="AC161" s="749"/>
      <c r="AD161" s="749"/>
      <c r="AE161" s="749"/>
      <c r="AF161" s="749"/>
      <c r="AG161" s="749"/>
      <c r="AH161" s="749"/>
      <c r="AI161" s="749"/>
      <c r="AJ161" s="749"/>
      <c r="AK161" s="749"/>
      <c r="AL161" s="749"/>
      <c r="AM161" s="756" t="s">
        <v>2540</v>
      </c>
    </row>
    <row r="162" s="737" customFormat="1" ht="18" customHeight="1" spans="1:39">
      <c r="A162" s="741">
        <v>45649</v>
      </c>
      <c r="B162" s="742" t="s">
        <v>2370</v>
      </c>
      <c r="C162" s="743" t="s">
        <v>2541</v>
      </c>
      <c r="D162" s="743" t="s">
        <v>2458</v>
      </c>
      <c r="E162" s="743" t="s">
        <v>2389</v>
      </c>
      <c r="F162" s="743">
        <v>1536</v>
      </c>
      <c r="G162" s="744" t="s">
        <v>2387</v>
      </c>
      <c r="H162" s="744" t="s">
        <v>140</v>
      </c>
      <c r="I162" s="743" t="s">
        <v>140</v>
      </c>
      <c r="J162" s="749"/>
      <c r="K162" s="749"/>
      <c r="L162" s="749"/>
      <c r="M162" s="749"/>
      <c r="N162" s="749"/>
      <c r="O162" s="749"/>
      <c r="P162" s="749"/>
      <c r="Q162" s="749"/>
      <c r="R162" s="749"/>
      <c r="S162" s="749">
        <v>1536</v>
      </c>
      <c r="T162" s="749"/>
      <c r="U162" s="749"/>
      <c r="V162" s="749"/>
      <c r="W162" s="749"/>
      <c r="X162" s="749"/>
      <c r="Y162" s="749"/>
      <c r="Z162" s="749"/>
      <c r="AA162" s="749"/>
      <c r="AB162" s="749"/>
      <c r="AC162" s="749"/>
      <c r="AD162" s="749"/>
      <c r="AE162" s="749"/>
      <c r="AF162" s="749"/>
      <c r="AG162" s="749"/>
      <c r="AH162" s="749"/>
      <c r="AI162" s="749"/>
      <c r="AJ162" s="749"/>
      <c r="AK162" s="749"/>
      <c r="AL162" s="749"/>
      <c r="AM162" s="756" t="s">
        <v>2542</v>
      </c>
    </row>
    <row r="163" s="737" customFormat="1" ht="18" customHeight="1" spans="1:39">
      <c r="A163" s="741">
        <v>45664</v>
      </c>
      <c r="B163" s="742" t="s">
        <v>2370</v>
      </c>
      <c r="C163" s="743" t="s">
        <v>2482</v>
      </c>
      <c r="D163" s="743" t="s">
        <v>2433</v>
      </c>
      <c r="E163" s="743">
        <v>77485</v>
      </c>
      <c r="F163" s="743">
        <v>50000</v>
      </c>
      <c r="G163" s="744" t="s">
        <v>2380</v>
      </c>
      <c r="H163" s="744" t="s">
        <v>2434</v>
      </c>
      <c r="I163" s="743" t="s">
        <v>2381</v>
      </c>
      <c r="J163" s="749">
        <v>50000</v>
      </c>
      <c r="K163" s="749"/>
      <c r="L163" s="749"/>
      <c r="M163" s="749"/>
      <c r="N163" s="749"/>
      <c r="O163" s="749"/>
      <c r="P163" s="749"/>
      <c r="Q163" s="749"/>
      <c r="R163" s="749"/>
      <c r="S163" s="749"/>
      <c r="T163" s="749"/>
      <c r="U163" s="749"/>
      <c r="V163" s="749"/>
      <c r="W163" s="749"/>
      <c r="X163" s="749"/>
      <c r="Y163" s="749"/>
      <c r="Z163" s="749"/>
      <c r="AA163" s="749"/>
      <c r="AB163" s="749"/>
      <c r="AC163" s="749"/>
      <c r="AD163" s="749"/>
      <c r="AE163" s="749"/>
      <c r="AF163" s="749"/>
      <c r="AG163" s="749"/>
      <c r="AH163" s="749"/>
      <c r="AI163" s="749"/>
      <c r="AJ163" s="749"/>
      <c r="AK163" s="749"/>
      <c r="AL163" s="749"/>
      <c r="AM163" s="756"/>
    </row>
    <row r="164" s="737" customFormat="1" ht="18" customHeight="1" spans="1:39">
      <c r="A164" s="741">
        <v>45664</v>
      </c>
      <c r="B164" s="742" t="s">
        <v>2370</v>
      </c>
      <c r="C164" s="743" t="s">
        <v>2482</v>
      </c>
      <c r="D164" s="743" t="s">
        <v>2433</v>
      </c>
      <c r="E164" s="743">
        <v>77485</v>
      </c>
      <c r="F164" s="743">
        <v>20000</v>
      </c>
      <c r="G164" s="744" t="s">
        <v>2380</v>
      </c>
      <c r="H164" s="744" t="s">
        <v>2434</v>
      </c>
      <c r="I164" s="743" t="s">
        <v>2393</v>
      </c>
      <c r="J164" s="749"/>
      <c r="K164" s="749"/>
      <c r="L164" s="749"/>
      <c r="M164" s="749">
        <v>20000</v>
      </c>
      <c r="N164" s="749"/>
      <c r="O164" s="749"/>
      <c r="P164" s="749"/>
      <c r="Q164" s="749"/>
      <c r="R164" s="749"/>
      <c r="S164" s="749"/>
      <c r="T164" s="749"/>
      <c r="U164" s="749"/>
      <c r="V164" s="749"/>
      <c r="W164" s="749"/>
      <c r="X164" s="749"/>
      <c r="Y164" s="749"/>
      <c r="Z164" s="749"/>
      <c r="AA164" s="749"/>
      <c r="AB164" s="749"/>
      <c r="AC164" s="749"/>
      <c r="AD164" s="749"/>
      <c r="AE164" s="749"/>
      <c r="AF164" s="749"/>
      <c r="AG164" s="749"/>
      <c r="AH164" s="749"/>
      <c r="AI164" s="749"/>
      <c r="AJ164" s="749"/>
      <c r="AK164" s="749"/>
      <c r="AL164" s="749"/>
      <c r="AM164" s="756"/>
    </row>
    <row r="165" s="737" customFormat="1" ht="18" customHeight="1" spans="1:39">
      <c r="A165" s="741">
        <v>45664</v>
      </c>
      <c r="B165" s="742" t="s">
        <v>2370</v>
      </c>
      <c r="C165" s="743" t="s">
        <v>2543</v>
      </c>
      <c r="D165" s="743" t="s">
        <v>2433</v>
      </c>
      <c r="E165" s="743">
        <v>77485</v>
      </c>
      <c r="F165" s="743">
        <v>50000</v>
      </c>
      <c r="G165" s="744" t="s">
        <v>2383</v>
      </c>
      <c r="H165" s="744" t="s">
        <v>2437</v>
      </c>
      <c r="I165" s="743" t="s">
        <v>2384</v>
      </c>
      <c r="J165" s="749"/>
      <c r="K165" s="749"/>
      <c r="L165" s="749"/>
      <c r="M165" s="749"/>
      <c r="N165" s="749">
        <v>50000</v>
      </c>
      <c r="O165" s="749"/>
      <c r="P165" s="749"/>
      <c r="Q165" s="749"/>
      <c r="R165" s="749"/>
      <c r="S165" s="749"/>
      <c r="T165" s="749"/>
      <c r="U165" s="749"/>
      <c r="V165" s="749"/>
      <c r="W165" s="749"/>
      <c r="X165" s="749"/>
      <c r="Y165" s="749"/>
      <c r="Z165" s="749"/>
      <c r="AA165" s="749"/>
      <c r="AB165" s="749"/>
      <c r="AC165" s="749"/>
      <c r="AD165" s="749"/>
      <c r="AE165" s="749"/>
      <c r="AF165" s="749"/>
      <c r="AG165" s="749"/>
      <c r="AH165" s="749"/>
      <c r="AI165" s="749"/>
      <c r="AJ165" s="749"/>
      <c r="AK165" s="749"/>
      <c r="AL165" s="749"/>
      <c r="AM165" s="756"/>
    </row>
    <row r="166" s="737" customFormat="1" ht="18" customHeight="1" spans="1:39">
      <c r="A166" s="741">
        <v>45664</v>
      </c>
      <c r="B166" s="742" t="s">
        <v>2370</v>
      </c>
      <c r="C166" s="743" t="s">
        <v>2544</v>
      </c>
      <c r="D166" s="743" t="s">
        <v>2433</v>
      </c>
      <c r="E166" s="743" t="s">
        <v>2439</v>
      </c>
      <c r="F166" s="743">
        <v>800</v>
      </c>
      <c r="G166" s="744" t="s">
        <v>2387</v>
      </c>
      <c r="H166" s="744" t="s">
        <v>2321</v>
      </c>
      <c r="I166" s="743" t="s">
        <v>2381</v>
      </c>
      <c r="J166" s="749"/>
      <c r="K166" s="749"/>
      <c r="L166" s="749"/>
      <c r="M166" s="749"/>
      <c r="N166" s="749"/>
      <c r="O166" s="749"/>
      <c r="P166" s="749"/>
      <c r="Q166" s="749"/>
      <c r="R166" s="749"/>
      <c r="S166" s="749"/>
      <c r="T166" s="749"/>
      <c r="U166" s="749"/>
      <c r="V166" s="749">
        <v>800</v>
      </c>
      <c r="W166" s="749"/>
      <c r="X166" s="749"/>
      <c r="Y166" s="749"/>
      <c r="Z166" s="749"/>
      <c r="AA166" s="749"/>
      <c r="AB166" s="749"/>
      <c r="AC166" s="749"/>
      <c r="AD166" s="749"/>
      <c r="AE166" s="749"/>
      <c r="AF166" s="749"/>
      <c r="AG166" s="749"/>
      <c r="AH166" s="749"/>
      <c r="AI166" s="749"/>
      <c r="AJ166" s="749"/>
      <c r="AK166" s="749"/>
      <c r="AL166" s="749"/>
      <c r="AM166" s="756"/>
    </row>
    <row r="167" s="737" customFormat="1" ht="18" customHeight="1" spans="1:39">
      <c r="A167" s="741">
        <v>45664</v>
      </c>
      <c r="B167" s="742" t="s">
        <v>2370</v>
      </c>
      <c r="C167" s="743" t="s">
        <v>2545</v>
      </c>
      <c r="D167" s="743" t="s">
        <v>2433</v>
      </c>
      <c r="E167" s="743" t="s">
        <v>2442</v>
      </c>
      <c r="F167" s="743">
        <v>500</v>
      </c>
      <c r="G167" s="744" t="s">
        <v>2387</v>
      </c>
      <c r="H167" s="744" t="s">
        <v>2321</v>
      </c>
      <c r="I167" s="743" t="s">
        <v>2393</v>
      </c>
      <c r="J167" s="749"/>
      <c r="K167" s="749"/>
      <c r="L167" s="749"/>
      <c r="M167" s="749"/>
      <c r="N167" s="749"/>
      <c r="O167" s="749"/>
      <c r="P167" s="749"/>
      <c r="Q167" s="749"/>
      <c r="R167" s="749"/>
      <c r="S167" s="749"/>
      <c r="T167" s="749"/>
      <c r="U167" s="749"/>
      <c r="V167" s="749"/>
      <c r="W167" s="749"/>
      <c r="X167" s="749"/>
      <c r="Y167" s="749">
        <v>500</v>
      </c>
      <c r="Z167" s="749"/>
      <c r="AA167" s="749"/>
      <c r="AB167" s="749"/>
      <c r="AC167" s="749"/>
      <c r="AD167" s="749"/>
      <c r="AE167" s="749"/>
      <c r="AF167" s="749"/>
      <c r="AG167" s="749"/>
      <c r="AH167" s="749"/>
      <c r="AI167" s="749"/>
      <c r="AJ167" s="749"/>
      <c r="AK167" s="749"/>
      <c r="AL167" s="749"/>
      <c r="AM167" s="756"/>
    </row>
    <row r="168" s="737" customFormat="1" ht="18" customHeight="1" spans="1:39">
      <c r="A168" s="741">
        <v>45679</v>
      </c>
      <c r="B168" s="742" t="s">
        <v>2370</v>
      </c>
      <c r="C168" s="743" t="s">
        <v>2546</v>
      </c>
      <c r="D168" s="743" t="s">
        <v>2458</v>
      </c>
      <c r="E168" s="743">
        <v>77485</v>
      </c>
      <c r="F168" s="743">
        <v>20000</v>
      </c>
      <c r="G168" s="744" t="s">
        <v>2547</v>
      </c>
      <c r="H168" s="744" t="s">
        <v>140</v>
      </c>
      <c r="I168" s="743" t="s">
        <v>140</v>
      </c>
      <c r="J168" s="749"/>
      <c r="K168" s="749"/>
      <c r="L168" s="749"/>
      <c r="M168" s="749"/>
      <c r="N168" s="749"/>
      <c r="O168" s="749">
        <v>20000</v>
      </c>
      <c r="P168" s="749"/>
      <c r="Q168" s="749"/>
      <c r="R168" s="749"/>
      <c r="S168" s="749"/>
      <c r="T168" s="749"/>
      <c r="U168" s="749"/>
      <c r="V168" s="749"/>
      <c r="W168" s="749"/>
      <c r="X168" s="749"/>
      <c r="Y168" s="749"/>
      <c r="Z168" s="749"/>
      <c r="AA168" s="749"/>
      <c r="AB168" s="749"/>
      <c r="AC168" s="749"/>
      <c r="AD168" s="749"/>
      <c r="AE168" s="749"/>
      <c r="AF168" s="749"/>
      <c r="AG168" s="749"/>
      <c r="AH168" s="749"/>
      <c r="AI168" s="749"/>
      <c r="AJ168" s="749"/>
      <c r="AK168" s="749"/>
      <c r="AL168" s="749"/>
      <c r="AM168" s="756" t="s">
        <v>2548</v>
      </c>
    </row>
    <row r="169" s="737" customFormat="1" ht="18" customHeight="1" spans="1:39">
      <c r="A169" s="741">
        <v>45679</v>
      </c>
      <c r="B169" s="742" t="s">
        <v>2370</v>
      </c>
      <c r="C169" s="743" t="s">
        <v>2549</v>
      </c>
      <c r="D169" s="743" t="s">
        <v>2458</v>
      </c>
      <c r="E169" s="743" t="s">
        <v>2389</v>
      </c>
      <c r="F169" s="743">
        <v>1400</v>
      </c>
      <c r="G169" s="744" t="s">
        <v>2387</v>
      </c>
      <c r="H169" s="744" t="s">
        <v>140</v>
      </c>
      <c r="I169" s="743" t="s">
        <v>140</v>
      </c>
      <c r="J169" s="749"/>
      <c r="K169" s="749"/>
      <c r="L169" s="749"/>
      <c r="M169" s="749"/>
      <c r="N169" s="749"/>
      <c r="O169" s="749"/>
      <c r="P169" s="749"/>
      <c r="Q169" s="749"/>
      <c r="R169" s="749"/>
      <c r="S169" s="749">
        <v>1400</v>
      </c>
      <c r="T169" s="749"/>
      <c r="U169" s="749"/>
      <c r="V169" s="749"/>
      <c r="W169" s="749"/>
      <c r="X169" s="749"/>
      <c r="Y169" s="749"/>
      <c r="Z169" s="749"/>
      <c r="AA169" s="749"/>
      <c r="AB169" s="749"/>
      <c r="AC169" s="749"/>
      <c r="AD169" s="749"/>
      <c r="AE169" s="749"/>
      <c r="AF169" s="749"/>
      <c r="AG169" s="749"/>
      <c r="AH169" s="749"/>
      <c r="AI169" s="749"/>
      <c r="AJ169" s="749"/>
      <c r="AK169" s="749"/>
      <c r="AL169" s="749"/>
      <c r="AM169" s="756" t="s">
        <v>2550</v>
      </c>
    </row>
    <row r="170" s="737" customFormat="1" ht="18" customHeight="1" spans="1:39">
      <c r="A170" s="741">
        <v>45698</v>
      </c>
      <c r="B170" s="742" t="s">
        <v>2370</v>
      </c>
      <c r="C170" s="743" t="s">
        <v>2551</v>
      </c>
      <c r="D170" s="743" t="s">
        <v>2458</v>
      </c>
      <c r="E170" s="743" t="s">
        <v>2389</v>
      </c>
      <c r="F170" s="743">
        <v>500</v>
      </c>
      <c r="G170" s="744" t="s">
        <v>2387</v>
      </c>
      <c r="H170" s="744" t="s">
        <v>140</v>
      </c>
      <c r="I170" s="743" t="s">
        <v>140</v>
      </c>
      <c r="J170" s="749"/>
      <c r="K170" s="749"/>
      <c r="L170" s="749"/>
      <c r="M170" s="749"/>
      <c r="N170" s="749"/>
      <c r="O170" s="749"/>
      <c r="P170" s="749"/>
      <c r="Q170" s="749"/>
      <c r="R170" s="749"/>
      <c r="S170" s="749">
        <v>500</v>
      </c>
      <c r="T170" s="749"/>
      <c r="U170" s="749"/>
      <c r="V170" s="749"/>
      <c r="W170" s="749"/>
      <c r="X170" s="749"/>
      <c r="Y170" s="749"/>
      <c r="Z170" s="749"/>
      <c r="AA170" s="749"/>
      <c r="AB170" s="749"/>
      <c r="AC170" s="749"/>
      <c r="AD170" s="749"/>
      <c r="AE170" s="749"/>
      <c r="AF170" s="749"/>
      <c r="AG170" s="749"/>
      <c r="AH170" s="749"/>
      <c r="AI170" s="749"/>
      <c r="AJ170" s="749"/>
      <c r="AK170" s="749"/>
      <c r="AL170" s="749"/>
      <c r="AM170" s="756" t="s">
        <v>2552</v>
      </c>
    </row>
    <row r="171" s="737" customFormat="1" ht="18" customHeight="1" spans="1:39">
      <c r="A171" s="741">
        <v>45785</v>
      </c>
      <c r="B171" s="742" t="s">
        <v>2370</v>
      </c>
      <c r="C171" s="743" t="s">
        <v>2482</v>
      </c>
      <c r="D171" s="743" t="s">
        <v>2433</v>
      </c>
      <c r="E171" s="743">
        <v>77485</v>
      </c>
      <c r="F171" s="743">
        <v>20000</v>
      </c>
      <c r="G171" s="744" t="s">
        <v>2380</v>
      </c>
      <c r="H171" s="744" t="s">
        <v>2434</v>
      </c>
      <c r="I171" s="743" t="s">
        <v>2381</v>
      </c>
      <c r="J171" s="749">
        <v>20000</v>
      </c>
      <c r="K171" s="749"/>
      <c r="L171" s="749"/>
      <c r="M171" s="749"/>
      <c r="N171" s="749"/>
      <c r="O171" s="749"/>
      <c r="P171" s="749"/>
      <c r="Q171" s="749"/>
      <c r="R171" s="749"/>
      <c r="S171" s="749"/>
      <c r="T171" s="749"/>
      <c r="U171" s="749"/>
      <c r="V171" s="749"/>
      <c r="W171" s="749"/>
      <c r="X171" s="749"/>
      <c r="Y171" s="749"/>
      <c r="Z171" s="749"/>
      <c r="AA171" s="749"/>
      <c r="AB171" s="749"/>
      <c r="AC171" s="749"/>
      <c r="AD171" s="749"/>
      <c r="AE171" s="749"/>
      <c r="AF171" s="749"/>
      <c r="AG171" s="749"/>
      <c r="AH171" s="749"/>
      <c r="AI171" s="749"/>
      <c r="AJ171" s="749"/>
      <c r="AK171" s="749"/>
      <c r="AL171" s="749"/>
      <c r="AM171" s="756"/>
    </row>
    <row r="172" s="737" customFormat="1" ht="18" customHeight="1" spans="1:39">
      <c r="A172" s="741">
        <v>45785</v>
      </c>
      <c r="B172" s="742" t="s">
        <v>2370</v>
      </c>
      <c r="C172" s="743" t="s">
        <v>2482</v>
      </c>
      <c r="D172" s="743" t="s">
        <v>2433</v>
      </c>
      <c r="E172" s="743">
        <v>77485</v>
      </c>
      <c r="F172" s="743">
        <v>20000</v>
      </c>
      <c r="G172" s="744" t="s">
        <v>2380</v>
      </c>
      <c r="H172" s="744" t="s">
        <v>2434</v>
      </c>
      <c r="I172" s="743" t="s">
        <v>2393</v>
      </c>
      <c r="J172" s="749"/>
      <c r="K172" s="749"/>
      <c r="L172" s="749"/>
      <c r="M172" s="749">
        <v>20000</v>
      </c>
      <c r="N172" s="749"/>
      <c r="O172" s="749"/>
      <c r="P172" s="749"/>
      <c r="Q172" s="749"/>
      <c r="R172" s="749"/>
      <c r="S172" s="749"/>
      <c r="T172" s="749"/>
      <c r="U172" s="749"/>
      <c r="V172" s="749"/>
      <c r="W172" s="749"/>
      <c r="X172" s="749"/>
      <c r="Y172" s="749"/>
      <c r="Z172" s="749"/>
      <c r="AA172" s="749"/>
      <c r="AB172" s="749"/>
      <c r="AC172" s="749"/>
      <c r="AD172" s="749"/>
      <c r="AE172" s="749"/>
      <c r="AF172" s="749"/>
      <c r="AG172" s="749"/>
      <c r="AH172" s="749"/>
      <c r="AI172" s="749"/>
      <c r="AJ172" s="749"/>
      <c r="AK172" s="749"/>
      <c r="AL172" s="749"/>
      <c r="AM172" s="756"/>
    </row>
    <row r="173" s="737" customFormat="1" ht="18" customHeight="1" spans="1:39">
      <c r="A173" s="741">
        <v>45785</v>
      </c>
      <c r="B173" s="742" t="s">
        <v>2370</v>
      </c>
      <c r="C173" s="743" t="s">
        <v>2553</v>
      </c>
      <c r="D173" s="743" t="s">
        <v>2433</v>
      </c>
      <c r="E173" s="743">
        <v>77485</v>
      </c>
      <c r="F173" s="743">
        <v>40000</v>
      </c>
      <c r="G173" s="744" t="s">
        <v>2383</v>
      </c>
      <c r="H173" s="744" t="s">
        <v>2437</v>
      </c>
      <c r="I173" s="743" t="s">
        <v>2384</v>
      </c>
      <c r="J173" s="749"/>
      <c r="K173" s="749"/>
      <c r="L173" s="749"/>
      <c r="M173" s="749"/>
      <c r="N173" s="749">
        <v>40000</v>
      </c>
      <c r="O173" s="749"/>
      <c r="P173" s="749"/>
      <c r="Q173" s="749"/>
      <c r="R173" s="749"/>
      <c r="S173" s="749"/>
      <c r="T173" s="749"/>
      <c r="U173" s="749"/>
      <c r="V173" s="749"/>
      <c r="W173" s="749"/>
      <c r="X173" s="749"/>
      <c r="Y173" s="749"/>
      <c r="Z173" s="749"/>
      <c r="AA173" s="749"/>
      <c r="AB173" s="749"/>
      <c r="AC173" s="749"/>
      <c r="AD173" s="749"/>
      <c r="AE173" s="749"/>
      <c r="AF173" s="749"/>
      <c r="AG173" s="749"/>
      <c r="AH173" s="749"/>
      <c r="AI173" s="749"/>
      <c r="AJ173" s="749"/>
      <c r="AK173" s="749"/>
      <c r="AL173" s="749"/>
      <c r="AM173" s="756"/>
    </row>
    <row r="174" s="737" customFormat="1" ht="18" customHeight="1" spans="1:39">
      <c r="A174" s="741">
        <v>45785</v>
      </c>
      <c r="B174" s="742" t="s">
        <v>2370</v>
      </c>
      <c r="C174" s="743" t="s">
        <v>2554</v>
      </c>
      <c r="D174" s="743" t="s">
        <v>2433</v>
      </c>
      <c r="E174" s="743" t="s">
        <v>2442</v>
      </c>
      <c r="F174" s="743">
        <v>500</v>
      </c>
      <c r="G174" s="744" t="s">
        <v>2387</v>
      </c>
      <c r="H174" s="744" t="s">
        <v>2321</v>
      </c>
      <c r="I174" s="743" t="s">
        <v>2381</v>
      </c>
      <c r="J174" s="749"/>
      <c r="K174" s="749"/>
      <c r="L174" s="749"/>
      <c r="M174" s="749"/>
      <c r="N174" s="749"/>
      <c r="O174" s="749"/>
      <c r="P174" s="749"/>
      <c r="Q174" s="749"/>
      <c r="R174" s="749"/>
      <c r="S174" s="749"/>
      <c r="T174" s="749"/>
      <c r="U174" s="749"/>
      <c r="V174" s="749"/>
      <c r="W174" s="749"/>
      <c r="X174" s="749">
        <v>500</v>
      </c>
      <c r="Y174" s="749"/>
      <c r="Z174" s="749"/>
      <c r="AA174" s="749"/>
      <c r="AB174" s="749"/>
      <c r="AC174" s="749"/>
      <c r="AD174" s="749"/>
      <c r="AE174" s="749"/>
      <c r="AF174" s="749"/>
      <c r="AG174" s="749"/>
      <c r="AH174" s="749"/>
      <c r="AI174" s="749"/>
      <c r="AJ174" s="749"/>
      <c r="AK174" s="749"/>
      <c r="AL174" s="749"/>
      <c r="AM174" s="756"/>
    </row>
    <row r="175" s="737" customFormat="1" ht="18" customHeight="1" spans="1:39">
      <c r="A175" s="741">
        <v>45785</v>
      </c>
      <c r="B175" s="742" t="s">
        <v>2370</v>
      </c>
      <c r="C175" s="743" t="s">
        <v>2555</v>
      </c>
      <c r="D175" s="743" t="s">
        <v>2433</v>
      </c>
      <c r="E175" s="743" t="s">
        <v>2442</v>
      </c>
      <c r="F175" s="743">
        <v>1000</v>
      </c>
      <c r="G175" s="744" t="s">
        <v>2387</v>
      </c>
      <c r="H175" s="744" t="s">
        <v>2321</v>
      </c>
      <c r="I175" s="743" t="s">
        <v>2393</v>
      </c>
      <c r="J175" s="749"/>
      <c r="K175" s="749"/>
      <c r="L175" s="749"/>
      <c r="M175" s="749"/>
      <c r="N175" s="749"/>
      <c r="O175" s="749"/>
      <c r="P175" s="749"/>
      <c r="Q175" s="749"/>
      <c r="R175" s="749"/>
      <c r="S175" s="749"/>
      <c r="T175" s="749"/>
      <c r="U175" s="749"/>
      <c r="V175" s="749"/>
      <c r="W175" s="749"/>
      <c r="X175" s="749"/>
      <c r="Y175" s="749">
        <v>1000</v>
      </c>
      <c r="Z175" s="749"/>
      <c r="AA175" s="749"/>
      <c r="AB175" s="749"/>
      <c r="AC175" s="749"/>
      <c r="AD175" s="749"/>
      <c r="AE175" s="749"/>
      <c r="AF175" s="749"/>
      <c r="AG175" s="749"/>
      <c r="AH175" s="749"/>
      <c r="AI175" s="749"/>
      <c r="AJ175" s="749"/>
      <c r="AK175" s="749"/>
      <c r="AL175" s="749"/>
      <c r="AM175" s="756"/>
    </row>
    <row r="176" s="737" customFormat="1" ht="18" customHeight="1" spans="1:39">
      <c r="A176" s="741">
        <v>45799</v>
      </c>
      <c r="B176" s="742" t="s">
        <v>2370</v>
      </c>
      <c r="C176" s="743" t="s">
        <v>2556</v>
      </c>
      <c r="D176" s="743" t="s">
        <v>2557</v>
      </c>
      <c r="E176" s="743" t="s">
        <v>2389</v>
      </c>
      <c r="F176" s="743">
        <v>500</v>
      </c>
      <c r="G176" s="744" t="s">
        <v>2387</v>
      </c>
      <c r="H176" s="744" t="s">
        <v>2434</v>
      </c>
      <c r="I176" s="743" t="s">
        <v>2381</v>
      </c>
      <c r="J176" s="749"/>
      <c r="K176" s="749"/>
      <c r="L176" s="749"/>
      <c r="M176" s="749"/>
      <c r="N176" s="749"/>
      <c r="O176" s="749"/>
      <c r="P176" s="749"/>
      <c r="Q176" s="749"/>
      <c r="R176" s="749"/>
      <c r="S176" s="749">
        <v>500</v>
      </c>
      <c r="T176" s="749"/>
      <c r="U176" s="749"/>
      <c r="V176" s="749"/>
      <c r="W176" s="749"/>
      <c r="X176" s="749"/>
      <c r="Y176" s="749"/>
      <c r="Z176" s="749"/>
      <c r="AA176" s="749"/>
      <c r="AB176" s="749"/>
      <c r="AC176" s="749"/>
      <c r="AD176" s="749"/>
      <c r="AE176" s="749"/>
      <c r="AF176" s="749"/>
      <c r="AG176" s="749"/>
      <c r="AH176" s="749"/>
      <c r="AI176" s="749"/>
      <c r="AJ176" s="749"/>
      <c r="AK176" s="749"/>
      <c r="AL176" s="749"/>
      <c r="AM176" s="756" t="s">
        <v>2558</v>
      </c>
    </row>
    <row r="177" s="737" customFormat="1" ht="18" customHeight="1" spans="1:39">
      <c r="A177" s="741">
        <v>45797</v>
      </c>
      <c r="B177" s="742" t="s">
        <v>2370</v>
      </c>
      <c r="C177" s="743" t="s">
        <v>2482</v>
      </c>
      <c r="D177" s="743" t="s">
        <v>2433</v>
      </c>
      <c r="E177" s="743">
        <v>77485</v>
      </c>
      <c r="F177" s="743">
        <v>20000</v>
      </c>
      <c r="G177" s="744" t="s">
        <v>2380</v>
      </c>
      <c r="H177" s="744" t="s">
        <v>2434</v>
      </c>
      <c r="I177" s="743" t="s">
        <v>2393</v>
      </c>
      <c r="J177" s="749"/>
      <c r="K177" s="749"/>
      <c r="L177" s="749"/>
      <c r="M177" s="749">
        <v>20000</v>
      </c>
      <c r="N177" s="749"/>
      <c r="O177" s="749"/>
      <c r="P177" s="749"/>
      <c r="Q177" s="749"/>
      <c r="R177" s="749"/>
      <c r="S177" s="749"/>
      <c r="T177" s="749"/>
      <c r="U177" s="749"/>
      <c r="V177" s="749"/>
      <c r="W177" s="749"/>
      <c r="X177" s="749"/>
      <c r="Y177" s="749"/>
      <c r="Z177" s="749"/>
      <c r="AA177" s="749"/>
      <c r="AB177" s="749"/>
      <c r="AC177" s="749"/>
      <c r="AD177" s="749"/>
      <c r="AE177" s="749"/>
      <c r="AF177" s="749"/>
      <c r="AG177" s="749"/>
      <c r="AH177" s="749"/>
      <c r="AI177" s="749"/>
      <c r="AJ177" s="749"/>
      <c r="AK177" s="749"/>
      <c r="AL177" s="749"/>
      <c r="AM177" s="756"/>
    </row>
    <row r="178" s="737" customFormat="1" ht="18" customHeight="1" spans="1:39">
      <c r="A178" s="741">
        <v>45797</v>
      </c>
      <c r="B178" s="742" t="s">
        <v>2370</v>
      </c>
      <c r="C178" s="743" t="s">
        <v>2559</v>
      </c>
      <c r="D178" s="743" t="s">
        <v>2433</v>
      </c>
      <c r="E178" s="743">
        <v>77485</v>
      </c>
      <c r="F178" s="743">
        <v>20000</v>
      </c>
      <c r="G178" s="744" t="s">
        <v>2383</v>
      </c>
      <c r="H178" s="744" t="s">
        <v>2437</v>
      </c>
      <c r="I178" s="743" t="s">
        <v>2384</v>
      </c>
      <c r="J178" s="749"/>
      <c r="K178" s="749"/>
      <c r="L178" s="749"/>
      <c r="M178" s="749"/>
      <c r="N178" s="749">
        <v>20000</v>
      </c>
      <c r="O178" s="749"/>
      <c r="P178" s="749"/>
      <c r="Q178" s="749"/>
      <c r="R178" s="749"/>
      <c r="S178" s="749"/>
      <c r="T178" s="749"/>
      <c r="U178" s="749"/>
      <c r="V178" s="749"/>
      <c r="W178" s="749"/>
      <c r="X178" s="749"/>
      <c r="Y178" s="749"/>
      <c r="Z178" s="749"/>
      <c r="AA178" s="749"/>
      <c r="AB178" s="749"/>
      <c r="AC178" s="749"/>
      <c r="AD178" s="749"/>
      <c r="AE178" s="749"/>
      <c r="AF178" s="749"/>
      <c r="AG178" s="749"/>
      <c r="AH178" s="749"/>
      <c r="AI178" s="749"/>
      <c r="AJ178" s="749"/>
      <c r="AK178" s="749"/>
      <c r="AL178" s="749"/>
      <c r="AM178" s="756"/>
    </row>
    <row r="179" s="737" customFormat="1" ht="18" customHeight="1" spans="1:39">
      <c r="A179" s="741">
        <v>45797</v>
      </c>
      <c r="B179" s="742" t="s">
        <v>2370</v>
      </c>
      <c r="C179" s="743" t="s">
        <v>2560</v>
      </c>
      <c r="D179" s="743" t="s">
        <v>2433</v>
      </c>
      <c r="E179" s="743" t="s">
        <v>2442</v>
      </c>
      <c r="F179" s="743">
        <v>500</v>
      </c>
      <c r="G179" s="744" t="s">
        <v>2387</v>
      </c>
      <c r="H179" s="744" t="s">
        <v>2321</v>
      </c>
      <c r="I179" s="743" t="s">
        <v>2393</v>
      </c>
      <c r="J179" s="749"/>
      <c r="K179" s="749"/>
      <c r="L179" s="749"/>
      <c r="M179" s="749"/>
      <c r="N179" s="749"/>
      <c r="O179" s="749"/>
      <c r="P179" s="749"/>
      <c r="Q179" s="749"/>
      <c r="R179" s="749"/>
      <c r="S179" s="749"/>
      <c r="T179" s="749"/>
      <c r="U179" s="749"/>
      <c r="V179" s="749"/>
      <c r="W179" s="749"/>
      <c r="X179" s="749"/>
      <c r="Y179" s="749">
        <v>500</v>
      </c>
      <c r="Z179" s="749"/>
      <c r="AA179" s="749"/>
      <c r="AB179" s="749"/>
      <c r="AC179" s="749"/>
      <c r="AD179" s="749"/>
      <c r="AE179" s="749"/>
      <c r="AF179" s="749"/>
      <c r="AG179" s="749"/>
      <c r="AH179" s="749"/>
      <c r="AI179" s="749"/>
      <c r="AJ179" s="749"/>
      <c r="AK179" s="749"/>
      <c r="AL179" s="749"/>
      <c r="AM179" s="756"/>
    </row>
    <row r="180" s="737" customFormat="1" ht="18" customHeight="1" spans="1:39">
      <c r="A180" s="741">
        <v>45842</v>
      </c>
      <c r="B180" s="742" t="s">
        <v>2370</v>
      </c>
      <c r="C180" s="743">
        <v>1000029743</v>
      </c>
      <c r="D180" s="743" t="s">
        <v>2433</v>
      </c>
      <c r="E180" s="743">
        <v>77486</v>
      </c>
      <c r="F180" s="743">
        <v>14580</v>
      </c>
      <c r="G180" s="744" t="s">
        <v>2422</v>
      </c>
      <c r="H180" s="744" t="s">
        <v>2434</v>
      </c>
      <c r="I180" s="743" t="s">
        <v>2393</v>
      </c>
      <c r="J180" s="749"/>
      <c r="K180" s="749"/>
      <c r="L180" s="749"/>
      <c r="M180" s="749"/>
      <c r="N180" s="749"/>
      <c r="O180" s="749"/>
      <c r="P180" s="749"/>
      <c r="Q180" s="749"/>
      <c r="R180" s="749"/>
      <c r="S180" s="749"/>
      <c r="T180" s="749"/>
      <c r="U180" s="749"/>
      <c r="V180" s="749"/>
      <c r="W180" s="749"/>
      <c r="X180" s="749"/>
      <c r="Y180" s="749"/>
      <c r="Z180" s="749"/>
      <c r="AA180" s="749"/>
      <c r="AB180" s="749"/>
      <c r="AC180" s="749"/>
      <c r="AD180" s="749"/>
      <c r="AE180" s="749"/>
      <c r="AF180" s="749"/>
      <c r="AG180" s="749">
        <v>14580</v>
      </c>
      <c r="AH180" s="749"/>
      <c r="AI180" s="749"/>
      <c r="AJ180" s="749"/>
      <c r="AK180" s="749"/>
      <c r="AL180" s="749"/>
      <c r="AM180" s="756" t="s">
        <v>2561</v>
      </c>
    </row>
    <row r="181" s="737" customFormat="1" ht="18" customHeight="1" spans="1:39">
      <c r="A181" s="741">
        <v>45842</v>
      </c>
      <c r="B181" s="742" t="s">
        <v>2370</v>
      </c>
      <c r="C181" s="743">
        <v>1000029744</v>
      </c>
      <c r="D181" s="743" t="s">
        <v>2433</v>
      </c>
      <c r="E181" s="743">
        <v>77486</v>
      </c>
      <c r="F181" s="743">
        <v>14580</v>
      </c>
      <c r="G181" s="744" t="s">
        <v>2562</v>
      </c>
      <c r="H181" s="744" t="s">
        <v>140</v>
      </c>
      <c r="I181" s="743"/>
      <c r="J181" s="749"/>
      <c r="K181" s="749"/>
      <c r="L181" s="749"/>
      <c r="M181" s="749"/>
      <c r="N181" s="749"/>
      <c r="O181" s="749"/>
      <c r="P181" s="749"/>
      <c r="Q181" s="749"/>
      <c r="R181" s="749"/>
      <c r="S181" s="749"/>
      <c r="T181" s="749"/>
      <c r="U181" s="749"/>
      <c r="V181" s="749"/>
      <c r="W181" s="749"/>
      <c r="X181" s="749"/>
      <c r="Y181" s="749"/>
      <c r="Z181" s="749"/>
      <c r="AA181" s="749"/>
      <c r="AB181" s="749"/>
      <c r="AC181" s="749"/>
      <c r="AD181" s="749"/>
      <c r="AE181" s="749"/>
      <c r="AF181" s="749">
        <v>14580</v>
      </c>
      <c r="AG181" s="749"/>
      <c r="AH181" s="749"/>
      <c r="AI181" s="749"/>
      <c r="AJ181" s="749"/>
      <c r="AK181" s="749"/>
      <c r="AL181" s="749"/>
      <c r="AM181" s="756" t="s">
        <v>2561</v>
      </c>
    </row>
    <row r="182" s="737" customFormat="1" ht="18" customHeight="1" spans="1:39">
      <c r="A182" s="741">
        <v>45842</v>
      </c>
      <c r="B182" s="742" t="s">
        <v>2370</v>
      </c>
      <c r="C182" s="743">
        <v>1000029745</v>
      </c>
      <c r="D182" s="743" t="s">
        <v>2433</v>
      </c>
      <c r="E182" s="743">
        <v>77486</v>
      </c>
      <c r="F182" s="743">
        <v>14580</v>
      </c>
      <c r="G182" s="744" t="s">
        <v>2456</v>
      </c>
      <c r="H182" s="744" t="s">
        <v>140</v>
      </c>
      <c r="I182" s="743"/>
      <c r="J182" s="749"/>
      <c r="K182" s="749"/>
      <c r="L182" s="749"/>
      <c r="M182" s="749"/>
      <c r="N182" s="749"/>
      <c r="O182" s="749"/>
      <c r="P182" s="749"/>
      <c r="Q182" s="749"/>
      <c r="R182" s="749"/>
      <c r="S182" s="749"/>
      <c r="T182" s="749"/>
      <c r="U182" s="749"/>
      <c r="V182" s="749"/>
      <c r="W182" s="749"/>
      <c r="X182" s="749"/>
      <c r="Y182" s="749"/>
      <c r="Z182" s="749"/>
      <c r="AA182" s="749"/>
      <c r="AB182" s="749"/>
      <c r="AC182" s="749"/>
      <c r="AD182" s="749"/>
      <c r="AE182" s="749"/>
      <c r="AF182" s="749"/>
      <c r="AG182" s="749"/>
      <c r="AH182" s="749">
        <v>14580</v>
      </c>
      <c r="AI182" s="749"/>
      <c r="AJ182" s="749"/>
      <c r="AK182" s="749"/>
      <c r="AL182" s="749"/>
      <c r="AM182" s="756" t="s">
        <v>2561</v>
      </c>
    </row>
    <row r="183" s="737" customFormat="1" ht="18" customHeight="1" spans="1:39">
      <c r="A183" s="741">
        <v>45842</v>
      </c>
      <c r="B183" s="742" t="s">
        <v>2370</v>
      </c>
      <c r="C183" s="743">
        <v>1000029746</v>
      </c>
      <c r="D183" s="743" t="s">
        <v>2433</v>
      </c>
      <c r="E183" s="743">
        <v>77601</v>
      </c>
      <c r="F183" s="743">
        <v>63936</v>
      </c>
      <c r="G183" s="744" t="s">
        <v>2563</v>
      </c>
      <c r="H183" s="744" t="s">
        <v>2434</v>
      </c>
      <c r="I183" s="743" t="s">
        <v>2393</v>
      </c>
      <c r="J183" s="749"/>
      <c r="K183" s="749"/>
      <c r="L183" s="749">
        <v>63936</v>
      </c>
      <c r="M183" s="749"/>
      <c r="N183" s="749"/>
      <c r="O183" s="749"/>
      <c r="P183" s="749"/>
      <c r="Q183" s="749"/>
      <c r="R183" s="749"/>
      <c r="S183" s="749"/>
      <c r="T183" s="749"/>
      <c r="U183" s="749"/>
      <c r="V183" s="749"/>
      <c r="W183" s="749"/>
      <c r="X183" s="749"/>
      <c r="Y183" s="749"/>
      <c r="Z183" s="749"/>
      <c r="AA183" s="749"/>
      <c r="AB183" s="749"/>
      <c r="AC183" s="749"/>
      <c r="AD183" s="749"/>
      <c r="AE183" s="749"/>
      <c r="AF183" s="749"/>
      <c r="AG183" s="749"/>
      <c r="AH183" s="749"/>
      <c r="AI183" s="749"/>
      <c r="AJ183" s="749"/>
      <c r="AK183" s="749"/>
      <c r="AL183" s="749"/>
      <c r="AM183" s="756" t="s">
        <v>2564</v>
      </c>
    </row>
    <row r="184" s="737" customFormat="1" ht="18" customHeight="1" spans="1:39">
      <c r="A184" s="741">
        <v>45842</v>
      </c>
      <c r="B184" s="742" t="s">
        <v>2370</v>
      </c>
      <c r="C184" s="743">
        <v>1000029747</v>
      </c>
      <c r="D184" s="743" t="s">
        <v>2433</v>
      </c>
      <c r="E184" s="743">
        <v>77601</v>
      </c>
      <c r="F184" s="743">
        <v>11592</v>
      </c>
      <c r="G184" s="744" t="s">
        <v>2565</v>
      </c>
      <c r="H184" s="744" t="s">
        <v>2321</v>
      </c>
      <c r="I184" s="743" t="s">
        <v>2393</v>
      </c>
      <c r="J184" s="749"/>
      <c r="K184" s="749"/>
      <c r="L184" s="749"/>
      <c r="M184" s="749"/>
      <c r="N184" s="749"/>
      <c r="O184" s="749"/>
      <c r="P184" s="749"/>
      <c r="Q184" s="749"/>
      <c r="R184" s="749"/>
      <c r="S184" s="749"/>
      <c r="T184" s="749"/>
      <c r="U184" s="749"/>
      <c r="V184" s="749"/>
      <c r="W184" s="749"/>
      <c r="X184" s="749"/>
      <c r="Y184" s="749"/>
      <c r="Z184" s="749"/>
      <c r="AA184" s="749"/>
      <c r="AB184" s="749"/>
      <c r="AC184" s="749"/>
      <c r="AD184" s="749"/>
      <c r="AE184" s="749"/>
      <c r="AF184" s="749"/>
      <c r="AG184" s="749"/>
      <c r="AH184" s="749"/>
      <c r="AI184" s="749"/>
      <c r="AJ184" s="749">
        <v>11592</v>
      </c>
      <c r="AK184" s="749"/>
      <c r="AL184" s="749"/>
      <c r="AM184" s="756" t="s">
        <v>2566</v>
      </c>
    </row>
    <row r="185" s="737" customFormat="1" ht="18" customHeight="1" spans="1:39">
      <c r="A185" s="741">
        <v>45842</v>
      </c>
      <c r="B185" s="742" t="s">
        <v>2370</v>
      </c>
      <c r="C185" s="743">
        <v>1000029748</v>
      </c>
      <c r="D185" s="743" t="s">
        <v>2433</v>
      </c>
      <c r="E185" s="743">
        <v>77601</v>
      </c>
      <c r="F185" s="743">
        <v>11592</v>
      </c>
      <c r="G185" s="744" t="s">
        <v>2567</v>
      </c>
      <c r="H185" s="744" t="s">
        <v>140</v>
      </c>
      <c r="I185" s="743"/>
      <c r="J185" s="749"/>
      <c r="K185" s="749"/>
      <c r="L185" s="749"/>
      <c r="M185" s="749"/>
      <c r="N185" s="749"/>
      <c r="O185" s="749"/>
      <c r="P185" s="749"/>
      <c r="Q185" s="749"/>
      <c r="R185" s="749"/>
      <c r="S185" s="749"/>
      <c r="T185" s="749"/>
      <c r="U185" s="749"/>
      <c r="V185" s="749"/>
      <c r="W185" s="749"/>
      <c r="X185" s="749"/>
      <c r="Y185" s="749"/>
      <c r="Z185" s="749"/>
      <c r="AA185" s="749"/>
      <c r="AB185" s="749"/>
      <c r="AC185" s="749"/>
      <c r="AD185" s="749"/>
      <c r="AE185" s="749"/>
      <c r="AF185" s="749"/>
      <c r="AG185" s="749"/>
      <c r="AH185" s="749"/>
      <c r="AI185" s="749">
        <v>11592</v>
      </c>
      <c r="AJ185" s="749"/>
      <c r="AK185" s="749"/>
      <c r="AL185" s="749"/>
      <c r="AM185" s="756" t="s">
        <v>2566</v>
      </c>
    </row>
    <row r="186" s="737" customFormat="1" ht="18" customHeight="1" spans="1:39">
      <c r="A186" s="741">
        <v>45842</v>
      </c>
      <c r="B186" s="742" t="s">
        <v>2370</v>
      </c>
      <c r="C186" s="743">
        <v>1000029749</v>
      </c>
      <c r="D186" s="743" t="s">
        <v>2433</v>
      </c>
      <c r="E186" s="743">
        <v>77601</v>
      </c>
      <c r="F186" s="743">
        <v>11592</v>
      </c>
      <c r="G186" s="744" t="s">
        <v>2568</v>
      </c>
      <c r="H186" s="744" t="s">
        <v>140</v>
      </c>
      <c r="I186" s="743"/>
      <c r="J186" s="749"/>
      <c r="K186" s="749"/>
      <c r="L186" s="749"/>
      <c r="M186" s="749"/>
      <c r="N186" s="749"/>
      <c r="O186" s="749"/>
      <c r="P186" s="749"/>
      <c r="Q186" s="749"/>
      <c r="R186" s="749"/>
      <c r="S186" s="749"/>
      <c r="T186" s="749"/>
      <c r="U186" s="749"/>
      <c r="V186" s="749"/>
      <c r="W186" s="749"/>
      <c r="X186" s="749"/>
      <c r="Y186" s="749"/>
      <c r="Z186" s="749"/>
      <c r="AA186" s="749"/>
      <c r="AB186" s="749"/>
      <c r="AC186" s="749"/>
      <c r="AD186" s="749"/>
      <c r="AE186" s="749"/>
      <c r="AF186" s="749"/>
      <c r="AG186" s="749"/>
      <c r="AH186" s="749"/>
      <c r="AI186" s="749"/>
      <c r="AJ186" s="749"/>
      <c r="AK186" s="749">
        <v>11592</v>
      </c>
      <c r="AL186" s="749"/>
      <c r="AM186" s="756" t="s">
        <v>2566</v>
      </c>
    </row>
    <row r="187" s="737" customFormat="1" ht="18" customHeight="1" spans="1:39">
      <c r="A187" s="741">
        <v>45846</v>
      </c>
      <c r="B187" s="742" t="s">
        <v>2370</v>
      </c>
      <c r="C187" s="743" t="s">
        <v>2569</v>
      </c>
      <c r="D187" s="743" t="s">
        <v>2570</v>
      </c>
      <c r="E187" s="743">
        <v>77486</v>
      </c>
      <c r="F187" s="743">
        <v>8304</v>
      </c>
      <c r="G187" s="744" t="s">
        <v>2571</v>
      </c>
      <c r="H187" s="744"/>
      <c r="I187" s="743"/>
      <c r="J187" s="749"/>
      <c r="K187" s="749"/>
      <c r="L187" s="749"/>
      <c r="M187" s="749"/>
      <c r="N187" s="749"/>
      <c r="O187" s="749"/>
      <c r="P187" s="749"/>
      <c r="Q187" s="749"/>
      <c r="R187" s="749"/>
      <c r="S187" s="749"/>
      <c r="T187" s="749"/>
      <c r="U187" s="749"/>
      <c r="V187" s="749"/>
      <c r="W187" s="749"/>
      <c r="X187" s="749"/>
      <c r="Y187" s="749"/>
      <c r="Z187" s="749"/>
      <c r="AA187" s="749"/>
      <c r="AB187" s="749"/>
      <c r="AC187" s="749"/>
      <c r="AD187" s="749"/>
      <c r="AE187" s="749"/>
      <c r="AF187" s="749">
        <v>8304</v>
      </c>
      <c r="AG187" s="749"/>
      <c r="AH187" s="749"/>
      <c r="AI187" s="749"/>
      <c r="AJ187" s="749"/>
      <c r="AK187" s="749"/>
      <c r="AL187" s="749"/>
      <c r="AM187" s="756" t="s">
        <v>2572</v>
      </c>
    </row>
    <row r="188" s="737" customFormat="1" ht="18" customHeight="1" spans="1:39">
      <c r="A188" s="741">
        <v>45846</v>
      </c>
      <c r="B188" s="742" t="s">
        <v>2370</v>
      </c>
      <c r="C188" s="743" t="s">
        <v>2573</v>
      </c>
      <c r="D188" s="743" t="s">
        <v>2570</v>
      </c>
      <c r="E188" s="743">
        <v>77486</v>
      </c>
      <c r="F188" s="743">
        <v>8304</v>
      </c>
      <c r="G188" s="744" t="s">
        <v>2400</v>
      </c>
      <c r="H188" s="744"/>
      <c r="I188" s="743"/>
      <c r="J188" s="749"/>
      <c r="K188" s="749"/>
      <c r="L188" s="749"/>
      <c r="M188" s="749"/>
      <c r="N188" s="749"/>
      <c r="O188" s="749"/>
      <c r="P188" s="749"/>
      <c r="Q188" s="749"/>
      <c r="R188" s="749"/>
      <c r="S188" s="749"/>
      <c r="T188" s="749"/>
      <c r="U188" s="749"/>
      <c r="V188" s="749"/>
      <c r="W188" s="749"/>
      <c r="X188" s="749"/>
      <c r="Y188" s="749"/>
      <c r="Z188" s="749"/>
      <c r="AA188" s="749"/>
      <c r="AB188" s="749"/>
      <c r="AC188" s="749"/>
      <c r="AD188" s="749"/>
      <c r="AE188" s="749"/>
      <c r="AF188" s="749"/>
      <c r="AG188" s="749"/>
      <c r="AH188" s="749">
        <v>8304</v>
      </c>
      <c r="AI188" s="749"/>
      <c r="AJ188" s="749"/>
      <c r="AK188" s="749"/>
      <c r="AL188" s="749"/>
      <c r="AM188" s="756" t="s">
        <v>2572</v>
      </c>
    </row>
    <row r="189" s="737" customFormat="1" ht="18" customHeight="1" spans="1:39">
      <c r="A189" s="741">
        <v>45846</v>
      </c>
      <c r="B189" s="742" t="s">
        <v>2370</v>
      </c>
      <c r="C189" s="743" t="s">
        <v>2574</v>
      </c>
      <c r="D189" s="743" t="s">
        <v>2570</v>
      </c>
      <c r="E189" s="743">
        <v>77486</v>
      </c>
      <c r="F189" s="743">
        <v>8304</v>
      </c>
      <c r="G189" s="744" t="s">
        <v>2399</v>
      </c>
      <c r="H189" s="744"/>
      <c r="I189" s="743" t="s">
        <v>2393</v>
      </c>
      <c r="J189" s="749"/>
      <c r="K189" s="749"/>
      <c r="L189" s="749"/>
      <c r="M189" s="749"/>
      <c r="N189" s="749"/>
      <c r="O189" s="749"/>
      <c r="P189" s="749"/>
      <c r="Q189" s="749"/>
      <c r="R189" s="749"/>
      <c r="S189" s="749"/>
      <c r="T189" s="749"/>
      <c r="U189" s="749"/>
      <c r="V189" s="749"/>
      <c r="W189" s="749"/>
      <c r="X189" s="749"/>
      <c r="Y189" s="749"/>
      <c r="Z189" s="749"/>
      <c r="AA189" s="749"/>
      <c r="AB189" s="749"/>
      <c r="AC189" s="749"/>
      <c r="AD189" s="749"/>
      <c r="AE189" s="749"/>
      <c r="AF189" s="749"/>
      <c r="AG189" s="749">
        <v>8304</v>
      </c>
      <c r="AH189" s="749"/>
      <c r="AI189" s="749"/>
      <c r="AJ189" s="749"/>
      <c r="AK189" s="749"/>
      <c r="AL189" s="749"/>
      <c r="AM189" s="756" t="s">
        <v>2572</v>
      </c>
    </row>
    <row r="190" s="737" customFormat="1" ht="18" customHeight="1" spans="1:39">
      <c r="A190" s="741">
        <v>45855</v>
      </c>
      <c r="B190" s="742" t="s">
        <v>2370</v>
      </c>
      <c r="C190" s="743" t="s">
        <v>2575</v>
      </c>
      <c r="D190" s="743" t="s">
        <v>2557</v>
      </c>
      <c r="E190" s="743" t="s">
        <v>2389</v>
      </c>
      <c r="F190" s="743">
        <v>1284</v>
      </c>
      <c r="G190" s="744" t="s">
        <v>2387</v>
      </c>
      <c r="H190" s="744"/>
      <c r="I190" s="743"/>
      <c r="J190" s="749"/>
      <c r="K190" s="749"/>
      <c r="L190" s="749"/>
      <c r="M190" s="749"/>
      <c r="N190" s="749"/>
      <c r="O190" s="749"/>
      <c r="P190" s="749"/>
      <c r="Q190" s="749"/>
      <c r="R190" s="749"/>
      <c r="S190" s="749"/>
      <c r="T190" s="749"/>
      <c r="U190" s="749"/>
      <c r="V190" s="749"/>
      <c r="W190" s="749"/>
      <c r="X190" s="749"/>
      <c r="Y190" s="749"/>
      <c r="Z190" s="749"/>
      <c r="AA190" s="749"/>
      <c r="AB190" s="749"/>
      <c r="AC190" s="749"/>
      <c r="AD190" s="749"/>
      <c r="AE190" s="749"/>
      <c r="AF190" s="749"/>
      <c r="AG190" s="749"/>
      <c r="AH190" s="749"/>
      <c r="AI190" s="749"/>
      <c r="AJ190" s="749"/>
      <c r="AK190" s="749"/>
      <c r="AL190" s="749"/>
      <c r="AM190" s="756" t="s">
        <v>2576</v>
      </c>
    </row>
    <row r="191" s="737" customFormat="1" ht="18" customHeight="1" spans="1:39">
      <c r="A191" s="741">
        <v>45855</v>
      </c>
      <c r="B191" s="742" t="s">
        <v>2370</v>
      </c>
      <c r="C191" s="743" t="s">
        <v>2577</v>
      </c>
      <c r="D191" s="743" t="s">
        <v>2557</v>
      </c>
      <c r="E191" s="743">
        <v>77485</v>
      </c>
      <c r="F191" s="743">
        <v>20000</v>
      </c>
      <c r="G191" s="744" t="s">
        <v>2377</v>
      </c>
      <c r="H191" s="744"/>
      <c r="I191" s="743"/>
      <c r="J191" s="749"/>
      <c r="K191" s="749"/>
      <c r="L191" s="749"/>
      <c r="M191" s="749"/>
      <c r="N191" s="749"/>
      <c r="O191" s="749"/>
      <c r="P191" s="749"/>
      <c r="Q191" s="749"/>
      <c r="R191" s="749"/>
      <c r="S191" s="749"/>
      <c r="T191" s="749"/>
      <c r="U191" s="749"/>
      <c r="V191" s="749"/>
      <c r="W191" s="749"/>
      <c r="X191" s="749"/>
      <c r="Y191" s="749"/>
      <c r="Z191" s="749"/>
      <c r="AA191" s="749"/>
      <c r="AB191" s="749"/>
      <c r="AC191" s="749"/>
      <c r="AD191" s="749"/>
      <c r="AE191" s="749"/>
      <c r="AF191" s="749"/>
      <c r="AG191" s="749"/>
      <c r="AH191" s="749"/>
      <c r="AI191" s="749"/>
      <c r="AJ191" s="749"/>
      <c r="AK191" s="749"/>
      <c r="AL191" s="749"/>
      <c r="AM191" s="756" t="s">
        <v>2578</v>
      </c>
    </row>
    <row r="192" s="737" customFormat="1" ht="18" customHeight="1" spans="1:39">
      <c r="A192" s="741">
        <v>45855</v>
      </c>
      <c r="B192" s="742" t="s">
        <v>2370</v>
      </c>
      <c r="C192" s="744" t="s">
        <v>2482</v>
      </c>
      <c r="D192" s="743" t="s">
        <v>2433</v>
      </c>
      <c r="E192" s="743">
        <v>77485</v>
      </c>
      <c r="F192" s="743">
        <v>20000</v>
      </c>
      <c r="G192" s="744" t="s">
        <v>2380</v>
      </c>
      <c r="H192" s="744" t="s">
        <v>2434</v>
      </c>
      <c r="I192" s="743" t="s">
        <v>2393</v>
      </c>
      <c r="J192" s="749"/>
      <c r="K192" s="749"/>
      <c r="L192" s="749"/>
      <c r="M192" s="749">
        <v>20000</v>
      </c>
      <c r="N192" s="749"/>
      <c r="O192" s="749"/>
      <c r="P192" s="749"/>
      <c r="Q192" s="749"/>
      <c r="R192" s="749"/>
      <c r="S192" s="749"/>
      <c r="T192" s="749"/>
      <c r="U192" s="749"/>
      <c r="V192" s="749"/>
      <c r="W192" s="749"/>
      <c r="X192" s="749"/>
      <c r="Y192" s="749"/>
      <c r="Z192" s="749"/>
      <c r="AA192" s="749"/>
      <c r="AB192" s="749"/>
      <c r="AC192" s="749"/>
      <c r="AD192" s="749"/>
      <c r="AE192" s="749"/>
      <c r="AF192" s="749"/>
      <c r="AG192" s="749"/>
      <c r="AH192" s="749"/>
      <c r="AI192" s="749"/>
      <c r="AJ192" s="749"/>
      <c r="AK192" s="749"/>
      <c r="AL192" s="749"/>
      <c r="AM192" s="756"/>
    </row>
    <row r="193" s="737" customFormat="1" ht="18" customHeight="1" spans="1:39">
      <c r="A193" s="741">
        <v>45855</v>
      </c>
      <c r="B193" s="742" t="s">
        <v>2370</v>
      </c>
      <c r="C193" s="744">
        <v>1000030162</v>
      </c>
      <c r="D193" s="743" t="s">
        <v>2433</v>
      </c>
      <c r="E193" s="743">
        <v>77485</v>
      </c>
      <c r="F193" s="743">
        <v>100000</v>
      </c>
      <c r="G193" s="744" t="s">
        <v>2383</v>
      </c>
      <c r="H193" s="744" t="s">
        <v>2437</v>
      </c>
      <c r="I193" s="743" t="s">
        <v>2384</v>
      </c>
      <c r="J193" s="749"/>
      <c r="K193" s="749"/>
      <c r="L193" s="749"/>
      <c r="M193" s="749"/>
      <c r="N193" s="749">
        <v>100000</v>
      </c>
      <c r="O193" s="749"/>
      <c r="P193" s="749"/>
      <c r="Q193" s="749"/>
      <c r="R193" s="749"/>
      <c r="S193" s="749"/>
      <c r="T193" s="749"/>
      <c r="U193" s="749"/>
      <c r="V193" s="749"/>
      <c r="W193" s="749"/>
      <c r="X193" s="749"/>
      <c r="Y193" s="749"/>
      <c r="Z193" s="749"/>
      <c r="AA193" s="749"/>
      <c r="AB193" s="749"/>
      <c r="AC193" s="749"/>
      <c r="AD193" s="749"/>
      <c r="AE193" s="749"/>
      <c r="AF193" s="749"/>
      <c r="AG193" s="749"/>
      <c r="AH193" s="749"/>
      <c r="AI193" s="749"/>
      <c r="AJ193" s="749"/>
      <c r="AK193" s="749"/>
      <c r="AL193" s="749"/>
      <c r="AM193" s="756"/>
    </row>
    <row r="194" s="737" customFormat="1" ht="18" customHeight="1" spans="1:39">
      <c r="A194" s="741">
        <v>45855</v>
      </c>
      <c r="B194" s="742" t="s">
        <v>2370</v>
      </c>
      <c r="C194" s="744">
        <v>1000030163</v>
      </c>
      <c r="D194" s="743" t="s">
        <v>2433</v>
      </c>
      <c r="E194" s="743" t="s">
        <v>2439</v>
      </c>
      <c r="F194" s="743">
        <v>500</v>
      </c>
      <c r="G194" s="744" t="s">
        <v>2387</v>
      </c>
      <c r="H194" s="744" t="s">
        <v>2321</v>
      </c>
      <c r="I194" s="743" t="s">
        <v>2381</v>
      </c>
      <c r="J194" s="749"/>
      <c r="K194" s="749" t="s">
        <v>2173</v>
      </c>
      <c r="L194" s="749"/>
      <c r="M194" s="749"/>
      <c r="N194" s="749"/>
      <c r="O194" s="749"/>
      <c r="P194" s="749"/>
      <c r="Q194" s="749"/>
      <c r="R194" s="749"/>
      <c r="S194" s="749"/>
      <c r="T194" s="749"/>
      <c r="U194" s="749"/>
      <c r="V194" s="749">
        <v>500</v>
      </c>
      <c r="W194" s="749"/>
      <c r="X194" s="749"/>
      <c r="Y194" s="749"/>
      <c r="Z194" s="749"/>
      <c r="AA194" s="749"/>
      <c r="AB194" s="749"/>
      <c r="AC194" s="749"/>
      <c r="AD194" s="749"/>
      <c r="AE194" s="749"/>
      <c r="AF194" s="749"/>
      <c r="AG194" s="749"/>
      <c r="AH194" s="749"/>
      <c r="AI194" s="749"/>
      <c r="AJ194" s="749"/>
      <c r="AK194" s="749"/>
      <c r="AL194" s="749"/>
      <c r="AM194" s="756"/>
    </row>
    <row r="195" s="737" customFormat="1" ht="18" customHeight="1" spans="1:39">
      <c r="A195" s="741">
        <v>45855</v>
      </c>
      <c r="B195" s="742" t="s">
        <v>2370</v>
      </c>
      <c r="C195" s="744">
        <v>1000030164</v>
      </c>
      <c r="D195" s="743" t="s">
        <v>2433</v>
      </c>
      <c r="E195" s="743" t="s">
        <v>2442</v>
      </c>
      <c r="F195" s="743">
        <v>500</v>
      </c>
      <c r="G195" s="744" t="s">
        <v>2387</v>
      </c>
      <c r="H195" s="744" t="s">
        <v>2321</v>
      </c>
      <c r="I195" s="743" t="s">
        <v>2393</v>
      </c>
      <c r="J195" s="749"/>
      <c r="K195" s="749"/>
      <c r="L195" s="749"/>
      <c r="M195" s="749"/>
      <c r="N195" s="749"/>
      <c r="O195" s="749"/>
      <c r="P195" s="749"/>
      <c r="Q195" s="749"/>
      <c r="R195" s="749"/>
      <c r="S195" s="749"/>
      <c r="T195" s="749"/>
      <c r="U195" s="749"/>
      <c r="V195" s="749"/>
      <c r="W195" s="749"/>
      <c r="X195" s="749"/>
      <c r="Y195" s="749">
        <v>500</v>
      </c>
      <c r="Z195" s="749"/>
      <c r="AA195" s="749"/>
      <c r="AB195" s="749"/>
      <c r="AC195" s="749"/>
      <c r="AD195" s="749"/>
      <c r="AE195" s="749"/>
      <c r="AF195" s="749"/>
      <c r="AG195" s="749"/>
      <c r="AH195" s="749"/>
      <c r="AI195" s="749"/>
      <c r="AJ195" s="749"/>
      <c r="AK195" s="749"/>
      <c r="AL195" s="749"/>
      <c r="AM195" s="756"/>
    </row>
    <row r="196" s="737" customFormat="1" ht="18" customHeight="1" spans="1:39">
      <c r="A196" s="741">
        <v>45875</v>
      </c>
      <c r="B196" s="742" t="s">
        <v>2370</v>
      </c>
      <c r="C196" s="743" t="s">
        <v>2579</v>
      </c>
      <c r="D196" s="743" t="s">
        <v>2557</v>
      </c>
      <c r="E196" s="743" t="s">
        <v>2389</v>
      </c>
      <c r="F196" s="743">
        <v>500</v>
      </c>
      <c r="G196" s="744" t="s">
        <v>2387</v>
      </c>
      <c r="H196" s="744" t="s">
        <v>140</v>
      </c>
      <c r="I196" s="743"/>
      <c r="J196" s="749"/>
      <c r="K196" s="749"/>
      <c r="L196" s="749"/>
      <c r="M196" s="749"/>
      <c r="N196" s="749"/>
      <c r="O196" s="749"/>
      <c r="P196" s="749"/>
      <c r="Q196" s="749"/>
      <c r="R196" s="749"/>
      <c r="S196" s="749">
        <v>500</v>
      </c>
      <c r="T196" s="749"/>
      <c r="U196" s="749"/>
      <c r="V196" s="749"/>
      <c r="W196" s="749"/>
      <c r="X196" s="749"/>
      <c r="Y196" s="749"/>
      <c r="Z196" s="749"/>
      <c r="AA196" s="749"/>
      <c r="AB196" s="749"/>
      <c r="AC196" s="749"/>
      <c r="AD196" s="749"/>
      <c r="AE196" s="749"/>
      <c r="AF196" s="749"/>
      <c r="AG196" s="749"/>
      <c r="AH196" s="749"/>
      <c r="AI196" s="749"/>
      <c r="AJ196" s="749"/>
      <c r="AK196" s="749"/>
      <c r="AL196" s="749"/>
      <c r="AM196" s="756" t="s">
        <v>2580</v>
      </c>
    </row>
    <row r="197" s="737" customFormat="1" ht="18" customHeight="1" spans="1:39">
      <c r="A197" s="741">
        <v>45884</v>
      </c>
      <c r="B197" s="742" t="s">
        <v>2370</v>
      </c>
      <c r="C197" s="744">
        <v>1000031009</v>
      </c>
      <c r="D197" s="743" t="s">
        <v>2557</v>
      </c>
      <c r="E197" s="743" t="s">
        <v>2389</v>
      </c>
      <c r="F197" s="743">
        <v>500</v>
      </c>
      <c r="G197" s="744" t="s">
        <v>2387</v>
      </c>
      <c r="H197" s="744" t="s">
        <v>140</v>
      </c>
      <c r="I197" s="743"/>
      <c r="J197" s="749"/>
      <c r="K197" s="749"/>
      <c r="L197" s="749"/>
      <c r="M197" s="749"/>
      <c r="N197" s="749"/>
      <c r="O197" s="749"/>
      <c r="P197" s="749"/>
      <c r="Q197" s="749"/>
      <c r="R197" s="749"/>
      <c r="S197" s="749">
        <v>500</v>
      </c>
      <c r="T197" s="749"/>
      <c r="U197" s="749"/>
      <c r="V197" s="749"/>
      <c r="W197" s="749"/>
      <c r="X197" s="749"/>
      <c r="Y197" s="749"/>
      <c r="Z197" s="749"/>
      <c r="AA197" s="749"/>
      <c r="AB197" s="749"/>
      <c r="AC197" s="749"/>
      <c r="AD197" s="749"/>
      <c r="AE197" s="749"/>
      <c r="AF197" s="749"/>
      <c r="AG197" s="749"/>
      <c r="AH197" s="749"/>
      <c r="AI197" s="749"/>
      <c r="AJ197" s="749"/>
      <c r="AK197" s="749"/>
      <c r="AL197" s="749"/>
      <c r="AM197" s="756" t="s">
        <v>2581</v>
      </c>
    </row>
    <row r="198" s="737" customFormat="1" ht="18" customHeight="1" spans="1:39">
      <c r="A198" s="741">
        <v>45902</v>
      </c>
      <c r="B198" s="742" t="s">
        <v>2370</v>
      </c>
      <c r="C198" s="744" t="s">
        <v>2482</v>
      </c>
      <c r="D198" s="743" t="s">
        <v>2379</v>
      </c>
      <c r="E198" s="743">
        <v>77485</v>
      </c>
      <c r="F198" s="743">
        <v>20000</v>
      </c>
      <c r="G198" s="744" t="s">
        <v>2380</v>
      </c>
      <c r="H198" s="744" t="s">
        <v>2434</v>
      </c>
      <c r="I198" s="743" t="s">
        <v>2381</v>
      </c>
      <c r="J198" s="749">
        <v>20000</v>
      </c>
      <c r="K198" s="749"/>
      <c r="L198" s="749"/>
      <c r="M198" s="749"/>
      <c r="N198" s="749"/>
      <c r="O198" s="749"/>
      <c r="P198" s="749"/>
      <c r="Q198" s="749"/>
      <c r="R198" s="749"/>
      <c r="S198" s="749"/>
      <c r="T198" s="749"/>
      <c r="U198" s="749"/>
      <c r="V198" s="749"/>
      <c r="W198" s="749"/>
      <c r="X198" s="749"/>
      <c r="Y198" s="749"/>
      <c r="Z198" s="749"/>
      <c r="AA198" s="749"/>
      <c r="AB198" s="749"/>
      <c r="AC198" s="749"/>
      <c r="AD198" s="749"/>
      <c r="AE198" s="749"/>
      <c r="AF198" s="749"/>
      <c r="AG198" s="749"/>
      <c r="AH198" s="749"/>
      <c r="AI198" s="749"/>
      <c r="AJ198" s="749"/>
      <c r="AK198" s="749"/>
      <c r="AL198" s="749"/>
      <c r="AM198" s="756"/>
    </row>
    <row r="199" s="737" customFormat="1" ht="18" customHeight="1" spans="1:39">
      <c r="A199" s="741">
        <v>45905</v>
      </c>
      <c r="B199" s="742" t="s">
        <v>2370</v>
      </c>
      <c r="C199" s="744">
        <v>1000031790</v>
      </c>
      <c r="D199" s="743" t="s">
        <v>2582</v>
      </c>
      <c r="E199" s="743">
        <v>77486</v>
      </c>
      <c r="F199" s="743">
        <v>10000</v>
      </c>
      <c r="G199" s="744" t="s">
        <v>2420</v>
      </c>
      <c r="H199" s="744"/>
      <c r="I199" s="743"/>
      <c r="J199" s="749"/>
      <c r="K199" s="749"/>
      <c r="L199" s="749"/>
      <c r="M199" s="749"/>
      <c r="N199" s="743"/>
      <c r="O199" s="749"/>
      <c r="P199" s="749"/>
      <c r="Q199" s="749"/>
      <c r="R199" s="749"/>
      <c r="S199" s="749"/>
      <c r="T199" s="749"/>
      <c r="U199" s="749"/>
      <c r="V199" s="749"/>
      <c r="W199" s="749"/>
      <c r="X199" s="749"/>
      <c r="Y199" s="749"/>
      <c r="Z199" s="749"/>
      <c r="AA199" s="749"/>
      <c r="AB199" s="749"/>
      <c r="AC199" s="749"/>
      <c r="AD199" s="749"/>
      <c r="AE199" s="749"/>
      <c r="AF199" s="743">
        <v>10000</v>
      </c>
      <c r="AG199" s="749"/>
      <c r="AH199" s="749"/>
      <c r="AI199" s="749"/>
      <c r="AJ199" s="749"/>
      <c r="AK199" s="749"/>
      <c r="AL199" s="749"/>
      <c r="AM199" s="756" t="s">
        <v>2583</v>
      </c>
    </row>
    <row r="200" s="737" customFormat="1" ht="18" customHeight="1" spans="1:39">
      <c r="A200" s="741">
        <v>45905</v>
      </c>
      <c r="B200" s="742" t="s">
        <v>2370</v>
      </c>
      <c r="C200" s="744">
        <v>1000031792</v>
      </c>
      <c r="D200" s="743" t="s">
        <v>2582</v>
      </c>
      <c r="E200" s="743">
        <v>77486</v>
      </c>
      <c r="F200" s="743">
        <v>5000</v>
      </c>
      <c r="G200" s="744" t="s">
        <v>2422</v>
      </c>
      <c r="H200" s="744" t="s">
        <v>2434</v>
      </c>
      <c r="I200" s="743"/>
      <c r="J200" s="749"/>
      <c r="K200" s="749"/>
      <c r="L200" s="749"/>
      <c r="M200" s="749"/>
      <c r="N200" s="743"/>
      <c r="O200" s="749"/>
      <c r="P200" s="749"/>
      <c r="Q200" s="749"/>
      <c r="R200" s="749"/>
      <c r="S200" s="749"/>
      <c r="T200" s="749"/>
      <c r="U200" s="749"/>
      <c r="V200" s="749"/>
      <c r="W200" s="749"/>
      <c r="X200" s="749"/>
      <c r="Y200" s="749"/>
      <c r="Z200" s="749"/>
      <c r="AA200" s="749"/>
      <c r="AB200" s="749"/>
      <c r="AC200" s="749"/>
      <c r="AD200" s="749"/>
      <c r="AE200" s="749"/>
      <c r="AF200" s="749"/>
      <c r="AG200" s="743">
        <v>5000</v>
      </c>
      <c r="AH200" s="749"/>
      <c r="AI200" s="749"/>
      <c r="AJ200" s="749"/>
      <c r="AK200" s="749"/>
      <c r="AL200" s="749"/>
      <c r="AM200" s="756" t="s">
        <v>2583</v>
      </c>
    </row>
    <row r="201" s="737" customFormat="1" ht="18" customHeight="1" spans="1:39">
      <c r="A201" s="741">
        <v>45905</v>
      </c>
      <c r="B201" s="742" t="s">
        <v>2370</v>
      </c>
      <c r="C201" s="744">
        <v>1000031794</v>
      </c>
      <c r="D201" s="743" t="s">
        <v>2582</v>
      </c>
      <c r="E201" s="743">
        <v>77486</v>
      </c>
      <c r="F201" s="743">
        <v>5000</v>
      </c>
      <c r="G201" s="744" t="s">
        <v>2456</v>
      </c>
      <c r="H201" s="744"/>
      <c r="I201" s="743"/>
      <c r="J201" s="749"/>
      <c r="K201" s="749"/>
      <c r="L201" s="749"/>
      <c r="M201" s="749"/>
      <c r="N201" s="749"/>
      <c r="O201" s="749"/>
      <c r="P201" s="749"/>
      <c r="Q201" s="749"/>
      <c r="R201" s="749"/>
      <c r="S201" s="749"/>
      <c r="T201" s="749"/>
      <c r="U201" s="749"/>
      <c r="V201" s="749"/>
      <c r="W201" s="749"/>
      <c r="X201" s="749"/>
      <c r="Y201" s="749"/>
      <c r="Z201" s="749"/>
      <c r="AA201" s="749"/>
      <c r="AB201" s="749"/>
      <c r="AC201" s="749"/>
      <c r="AD201" s="749"/>
      <c r="AE201" s="749"/>
      <c r="AF201" s="749"/>
      <c r="AG201" s="749"/>
      <c r="AH201" s="743">
        <v>5000</v>
      </c>
      <c r="AI201" s="749"/>
      <c r="AJ201" s="749"/>
      <c r="AK201" s="749"/>
      <c r="AL201" s="749"/>
      <c r="AM201" s="756" t="s">
        <v>2583</v>
      </c>
    </row>
    <row r="202" s="737" customFormat="1" ht="18" customHeight="1" spans="1:39">
      <c r="A202" s="741">
        <v>45954</v>
      </c>
      <c r="B202" s="742" t="s">
        <v>2370</v>
      </c>
      <c r="C202" s="744" t="s">
        <v>2482</v>
      </c>
      <c r="D202" s="743" t="s">
        <v>2379</v>
      </c>
      <c r="E202" s="743">
        <v>77485</v>
      </c>
      <c r="F202" s="743">
        <v>20000</v>
      </c>
      <c r="G202" s="744" t="s">
        <v>2380</v>
      </c>
      <c r="H202" s="744" t="s">
        <v>2434</v>
      </c>
      <c r="I202" s="743" t="s">
        <v>2381</v>
      </c>
      <c r="J202" s="749">
        <v>20000</v>
      </c>
      <c r="K202" s="749"/>
      <c r="L202" s="749"/>
      <c r="M202" s="749"/>
      <c r="N202" s="749"/>
      <c r="O202" s="749"/>
      <c r="P202" s="749"/>
      <c r="Q202" s="749"/>
      <c r="R202" s="749"/>
      <c r="S202" s="749"/>
      <c r="T202" s="749"/>
      <c r="U202" s="749"/>
      <c r="V202" s="749"/>
      <c r="W202" s="749"/>
      <c r="X202" s="749"/>
      <c r="Y202" s="749"/>
      <c r="Z202" s="749"/>
      <c r="AA202" s="749"/>
      <c r="AB202" s="749"/>
      <c r="AC202" s="749"/>
      <c r="AD202" s="749"/>
      <c r="AE202" s="749"/>
      <c r="AF202" s="749"/>
      <c r="AG202" s="749"/>
      <c r="AH202" s="749"/>
      <c r="AI202" s="749"/>
      <c r="AJ202" s="749"/>
      <c r="AK202" s="749"/>
      <c r="AL202" s="749"/>
      <c r="AM202" s="756"/>
    </row>
    <row r="203" s="737" customFormat="1" ht="18" customHeight="1" spans="1:39">
      <c r="A203" s="741">
        <v>45954</v>
      </c>
      <c r="B203" s="742" t="s">
        <v>2370</v>
      </c>
      <c r="C203" s="743" t="s">
        <v>2482</v>
      </c>
      <c r="D203" s="743" t="s">
        <v>2379</v>
      </c>
      <c r="E203" s="743">
        <v>77485</v>
      </c>
      <c r="F203" s="743">
        <v>20000</v>
      </c>
      <c r="G203" s="744" t="s">
        <v>2380</v>
      </c>
      <c r="H203" s="744" t="s">
        <v>2434</v>
      </c>
      <c r="I203" s="743" t="s">
        <v>2393</v>
      </c>
      <c r="J203" s="749"/>
      <c r="K203" s="749"/>
      <c r="L203" s="749"/>
      <c r="M203" s="743">
        <v>20000</v>
      </c>
      <c r="N203" s="749"/>
      <c r="O203" s="749"/>
      <c r="P203" s="749"/>
      <c r="Q203" s="749"/>
      <c r="R203" s="749"/>
      <c r="S203" s="749"/>
      <c r="T203" s="749"/>
      <c r="U203" s="749"/>
      <c r="V203" s="749"/>
      <c r="W203" s="749"/>
      <c r="X203" s="749"/>
      <c r="Y203" s="749"/>
      <c r="Z203" s="749"/>
      <c r="AA203" s="749"/>
      <c r="AB203" s="749"/>
      <c r="AC203" s="749"/>
      <c r="AD203" s="749"/>
      <c r="AE203" s="749"/>
      <c r="AF203" s="749"/>
      <c r="AG203" s="749"/>
      <c r="AH203" s="749"/>
      <c r="AI203" s="749"/>
      <c r="AJ203" s="749"/>
      <c r="AK203" s="749"/>
      <c r="AL203" s="749"/>
      <c r="AM203" s="756"/>
    </row>
    <row r="204" s="737" customFormat="1" ht="18" customHeight="1" spans="1:39">
      <c r="A204" s="741">
        <v>45954</v>
      </c>
      <c r="B204" s="742" t="s">
        <v>2370</v>
      </c>
      <c r="C204" s="743" t="s">
        <v>2584</v>
      </c>
      <c r="D204" s="743" t="s">
        <v>2379</v>
      </c>
      <c r="E204" s="743">
        <v>77485</v>
      </c>
      <c r="F204" s="743">
        <v>20000</v>
      </c>
      <c r="G204" s="744" t="s">
        <v>2383</v>
      </c>
      <c r="H204" s="744" t="s">
        <v>2437</v>
      </c>
      <c r="I204" s="743" t="s">
        <v>2384</v>
      </c>
      <c r="J204" s="749"/>
      <c r="K204" s="749"/>
      <c r="L204" s="749"/>
      <c r="M204" s="749"/>
      <c r="N204" s="749"/>
      <c r="O204" s="749"/>
      <c r="P204" s="749"/>
      <c r="Q204" s="749"/>
      <c r="R204" s="749"/>
      <c r="S204" s="749"/>
      <c r="T204" s="749"/>
      <c r="U204" s="749"/>
      <c r="V204" s="749"/>
      <c r="W204" s="749"/>
      <c r="X204" s="749"/>
      <c r="Y204" s="749"/>
      <c r="Z204" s="749"/>
      <c r="AA204" s="749"/>
      <c r="AB204" s="749"/>
      <c r="AC204" s="749"/>
      <c r="AD204" s="749"/>
      <c r="AE204" s="749"/>
      <c r="AF204" s="743">
        <v>10000</v>
      </c>
      <c r="AG204" s="749"/>
      <c r="AH204" s="749"/>
      <c r="AI204" s="749"/>
      <c r="AJ204" s="749"/>
      <c r="AK204" s="749"/>
      <c r="AL204" s="749"/>
      <c r="AM204" s="756"/>
    </row>
    <row r="205" s="737" customFormat="1" ht="18" customHeight="1" spans="1:39">
      <c r="A205" s="741">
        <v>45960</v>
      </c>
      <c r="B205" s="742" t="s">
        <v>2370</v>
      </c>
      <c r="C205" s="743" t="s">
        <v>2585</v>
      </c>
      <c r="D205" s="743" t="s">
        <v>2586</v>
      </c>
      <c r="E205" s="743">
        <v>77486</v>
      </c>
      <c r="F205" s="743">
        <v>10000</v>
      </c>
      <c r="G205" s="744" t="s">
        <v>2420</v>
      </c>
      <c r="H205" s="744" t="s">
        <v>2587</v>
      </c>
      <c r="I205" s="743" t="s">
        <v>2587</v>
      </c>
      <c r="J205" s="749"/>
      <c r="K205" s="749"/>
      <c r="L205" s="749"/>
      <c r="M205" s="749"/>
      <c r="N205" s="743"/>
      <c r="O205" s="749"/>
      <c r="P205" s="749"/>
      <c r="Q205" s="749"/>
      <c r="R205" s="749"/>
      <c r="S205" s="749"/>
      <c r="T205" s="749"/>
      <c r="U205" s="749"/>
      <c r="V205" s="749"/>
      <c r="W205" s="749"/>
      <c r="X205" s="749"/>
      <c r="Y205" s="749"/>
      <c r="Z205" s="749"/>
      <c r="AA205" s="749"/>
      <c r="AB205" s="749"/>
      <c r="AC205" s="749"/>
      <c r="AD205" s="749"/>
      <c r="AE205" s="749"/>
      <c r="AF205" s="749"/>
      <c r="AG205" s="743">
        <v>10000</v>
      </c>
      <c r="AH205" s="749"/>
      <c r="AI205" s="749"/>
      <c r="AJ205" s="749"/>
      <c r="AK205" s="749"/>
      <c r="AL205" s="749"/>
      <c r="AM205" s="756"/>
    </row>
    <row r="206" s="737" customFormat="1" ht="18" customHeight="1" spans="1:39">
      <c r="A206" s="741">
        <v>45960</v>
      </c>
      <c r="B206" s="742" t="s">
        <v>2370</v>
      </c>
      <c r="C206" s="743" t="s">
        <v>2588</v>
      </c>
      <c r="D206" s="743" t="s">
        <v>2586</v>
      </c>
      <c r="E206" s="743">
        <v>77486</v>
      </c>
      <c r="F206" s="743">
        <v>10000</v>
      </c>
      <c r="G206" s="744" t="s">
        <v>2422</v>
      </c>
      <c r="H206" s="744" t="s">
        <v>140</v>
      </c>
      <c r="I206" s="743" t="s">
        <v>2381</v>
      </c>
      <c r="J206" s="749"/>
      <c r="K206" s="749"/>
      <c r="L206" s="749"/>
      <c r="M206" s="749"/>
      <c r="N206" s="743"/>
      <c r="O206" s="749"/>
      <c r="P206" s="749"/>
      <c r="Q206" s="749"/>
      <c r="R206" s="749"/>
      <c r="S206" s="749"/>
      <c r="T206" s="749"/>
      <c r="U206" s="749"/>
      <c r="V206" s="749"/>
      <c r="W206" s="749"/>
      <c r="X206" s="749"/>
      <c r="Y206" s="749"/>
      <c r="Z206" s="749"/>
      <c r="AA206" s="749"/>
      <c r="AB206" s="749"/>
      <c r="AC206" s="749"/>
      <c r="AD206" s="749"/>
      <c r="AE206" s="749"/>
      <c r="AF206" s="749"/>
      <c r="AG206" s="749"/>
      <c r="AH206" s="743">
        <v>10000</v>
      </c>
      <c r="AI206" s="749"/>
      <c r="AJ206" s="749"/>
      <c r="AK206" s="749"/>
      <c r="AL206" s="749"/>
      <c r="AM206" s="756"/>
    </row>
    <row r="207" s="737" customFormat="1" ht="18" customHeight="1" spans="1:39">
      <c r="A207" s="741">
        <v>45960</v>
      </c>
      <c r="B207" s="742" t="s">
        <v>2370</v>
      </c>
      <c r="C207" s="743" t="s">
        <v>2589</v>
      </c>
      <c r="D207" s="743" t="s">
        <v>2586</v>
      </c>
      <c r="E207" s="743">
        <v>77486</v>
      </c>
      <c r="F207" s="743">
        <v>10000</v>
      </c>
      <c r="G207" s="744" t="s">
        <v>2456</v>
      </c>
      <c r="H207" s="744" t="s">
        <v>2587</v>
      </c>
      <c r="I207" s="743" t="s">
        <v>2587</v>
      </c>
      <c r="J207" s="749"/>
      <c r="K207" s="749"/>
      <c r="L207" s="749"/>
      <c r="M207" s="749"/>
      <c r="N207" s="743"/>
      <c r="O207" s="749"/>
      <c r="P207" s="749"/>
      <c r="Q207" s="749"/>
      <c r="R207" s="749"/>
      <c r="S207" s="749"/>
      <c r="T207" s="749"/>
      <c r="U207" s="749"/>
      <c r="V207" s="749"/>
      <c r="W207" s="749"/>
      <c r="X207" s="749"/>
      <c r="Y207" s="749"/>
      <c r="Z207" s="749"/>
      <c r="AA207" s="749"/>
      <c r="AB207" s="749"/>
      <c r="AC207" s="749"/>
      <c r="AD207" s="749"/>
      <c r="AE207" s="749"/>
      <c r="AF207" s="749"/>
      <c r="AG207" s="749"/>
      <c r="AH207" s="749"/>
      <c r="AI207" s="749"/>
      <c r="AJ207" s="749"/>
      <c r="AK207" s="749"/>
      <c r="AL207" s="749"/>
      <c r="AM207" s="756"/>
    </row>
    <row r="208" s="737" customFormat="1" ht="18" customHeight="1" spans="1:39">
      <c r="A208" s="741">
        <v>45960</v>
      </c>
      <c r="B208" s="742" t="s">
        <v>2370</v>
      </c>
      <c r="C208" s="743" t="s">
        <v>2482</v>
      </c>
      <c r="D208" s="743" t="s">
        <v>2590</v>
      </c>
      <c r="E208" s="743" t="s">
        <v>2591</v>
      </c>
      <c r="F208" s="743">
        <v>3650</v>
      </c>
      <c r="G208" s="744" t="s">
        <v>2387</v>
      </c>
      <c r="H208" s="744" t="s">
        <v>2381</v>
      </c>
      <c r="I208" s="743" t="s">
        <v>140</v>
      </c>
      <c r="J208" s="749"/>
      <c r="K208" s="749"/>
      <c r="L208" s="749"/>
      <c r="M208" s="749"/>
      <c r="N208" s="743"/>
      <c r="O208" s="749"/>
      <c r="P208" s="749"/>
      <c r="Q208" s="749"/>
      <c r="R208" s="749"/>
      <c r="S208" s="749"/>
      <c r="T208" s="749"/>
      <c r="U208" s="743">
        <v>3650</v>
      </c>
      <c r="V208" s="749"/>
      <c r="W208" s="749"/>
      <c r="X208" s="749"/>
      <c r="Y208" s="749"/>
      <c r="Z208" s="749"/>
      <c r="AA208" s="749"/>
      <c r="AB208" s="749"/>
      <c r="AC208" s="749"/>
      <c r="AD208" s="749"/>
      <c r="AE208" s="749"/>
      <c r="AF208" s="749"/>
      <c r="AG208" s="749"/>
      <c r="AH208" s="749"/>
      <c r="AI208" s="749"/>
      <c r="AJ208" s="749"/>
      <c r="AK208" s="749"/>
      <c r="AL208" s="749"/>
      <c r="AM208" s="756" t="s">
        <v>2592</v>
      </c>
    </row>
    <row r="209" s="737" customFormat="1" ht="18" customHeight="1" spans="1:39">
      <c r="A209" s="741">
        <v>45960</v>
      </c>
      <c r="B209" s="742">
        <v>17007652</v>
      </c>
      <c r="C209" s="743" t="s">
        <v>2482</v>
      </c>
      <c r="D209" s="743" t="s">
        <v>2379</v>
      </c>
      <c r="E209" s="743">
        <v>77485</v>
      </c>
      <c r="F209" s="743">
        <v>20000</v>
      </c>
      <c r="G209" s="744" t="s">
        <v>2380</v>
      </c>
      <c r="H209" s="744" t="s">
        <v>2381</v>
      </c>
      <c r="I209" s="743" t="s">
        <v>2434</v>
      </c>
      <c r="J209" s="743">
        <v>20000</v>
      </c>
      <c r="K209" s="749"/>
      <c r="L209" s="749"/>
      <c r="M209" s="749"/>
      <c r="N209" s="743"/>
      <c r="O209" s="749"/>
      <c r="P209" s="749"/>
      <c r="Q209" s="749"/>
      <c r="R209" s="749"/>
      <c r="S209" s="749"/>
      <c r="T209" s="749"/>
      <c r="U209" s="749"/>
      <c r="V209" s="749"/>
      <c r="W209" s="749"/>
      <c r="X209" s="749"/>
      <c r="Y209" s="749"/>
      <c r="Z209" s="749"/>
      <c r="AA209" s="749"/>
      <c r="AB209" s="749"/>
      <c r="AC209" s="749"/>
      <c r="AD209" s="749"/>
      <c r="AE209" s="749"/>
      <c r="AF209" s="749"/>
      <c r="AG209" s="749"/>
      <c r="AH209" s="749"/>
      <c r="AI209" s="749"/>
      <c r="AJ209" s="749"/>
      <c r="AK209" s="749"/>
      <c r="AL209" s="749"/>
      <c r="AM209" s="756"/>
    </row>
    <row r="210" s="737" customFormat="1" ht="18" customHeight="1" spans="1:39">
      <c r="A210" s="741">
        <v>45960</v>
      </c>
      <c r="B210" s="742">
        <v>17007652</v>
      </c>
      <c r="C210" s="743" t="s">
        <v>2593</v>
      </c>
      <c r="D210" s="743" t="s">
        <v>2379</v>
      </c>
      <c r="E210" s="743">
        <v>77485</v>
      </c>
      <c r="F210" s="743">
        <v>20000</v>
      </c>
      <c r="G210" s="744" t="s">
        <v>2383</v>
      </c>
      <c r="H210" s="744" t="s">
        <v>2384</v>
      </c>
      <c r="I210" s="743" t="s">
        <v>2437</v>
      </c>
      <c r="J210" s="749"/>
      <c r="K210" s="749"/>
      <c r="L210" s="749"/>
      <c r="M210" s="749"/>
      <c r="N210" s="743">
        <v>20000</v>
      </c>
      <c r="O210" s="749"/>
      <c r="P210" s="749"/>
      <c r="Q210" s="749"/>
      <c r="R210" s="749"/>
      <c r="S210" s="749"/>
      <c r="T210" s="749"/>
      <c r="U210" s="749"/>
      <c r="V210" s="749"/>
      <c r="W210" s="749"/>
      <c r="X210" s="749"/>
      <c r="Y210" s="749"/>
      <c r="Z210" s="749"/>
      <c r="AA210" s="749"/>
      <c r="AB210" s="749"/>
      <c r="AC210" s="749"/>
      <c r="AD210" s="749"/>
      <c r="AE210" s="749"/>
      <c r="AF210" s="749"/>
      <c r="AG210" s="749"/>
      <c r="AH210" s="749"/>
      <c r="AI210" s="749"/>
      <c r="AJ210" s="749"/>
      <c r="AK210" s="749"/>
      <c r="AL210" s="749"/>
      <c r="AM210" s="756"/>
    </row>
    <row r="211" s="737" customFormat="1" ht="18" customHeight="1" spans="1:39">
      <c r="A211" s="741">
        <v>45960</v>
      </c>
      <c r="B211" s="742">
        <v>17007652</v>
      </c>
      <c r="C211" s="743" t="s">
        <v>2482</v>
      </c>
      <c r="D211" s="743" t="s">
        <v>2379</v>
      </c>
      <c r="E211" s="743">
        <v>77485</v>
      </c>
      <c r="F211" s="743">
        <v>20000</v>
      </c>
      <c r="G211" s="744" t="s">
        <v>2380</v>
      </c>
      <c r="H211" s="744" t="s">
        <v>2381</v>
      </c>
      <c r="I211" s="743" t="s">
        <v>2434</v>
      </c>
      <c r="J211" s="743">
        <v>20000</v>
      </c>
      <c r="K211" s="749"/>
      <c r="L211" s="749"/>
      <c r="M211" s="749"/>
      <c r="N211" s="743"/>
      <c r="O211" s="749"/>
      <c r="P211" s="749"/>
      <c r="Q211" s="749"/>
      <c r="R211" s="749"/>
      <c r="S211" s="749"/>
      <c r="T211" s="749"/>
      <c r="U211" s="749"/>
      <c r="V211" s="749"/>
      <c r="W211" s="749"/>
      <c r="X211" s="749"/>
      <c r="Y211" s="749"/>
      <c r="Z211" s="749"/>
      <c r="AA211" s="749"/>
      <c r="AB211" s="749"/>
      <c r="AC211" s="749"/>
      <c r="AD211" s="749"/>
      <c r="AE211" s="749"/>
      <c r="AF211" s="749"/>
      <c r="AG211" s="749"/>
      <c r="AH211" s="749"/>
      <c r="AI211" s="749"/>
      <c r="AJ211" s="749"/>
      <c r="AK211" s="749"/>
      <c r="AL211" s="749"/>
      <c r="AM211" s="756"/>
    </row>
    <row r="212" s="737" customFormat="1" ht="18" customHeight="1" spans="1:39">
      <c r="A212" s="741">
        <v>45960</v>
      </c>
      <c r="B212" s="742" t="s">
        <v>2594</v>
      </c>
      <c r="C212" s="743" t="s">
        <v>2595</v>
      </c>
      <c r="D212" s="743" t="s">
        <v>2379</v>
      </c>
      <c r="E212" s="743">
        <v>77485</v>
      </c>
      <c r="F212" s="743">
        <v>20000</v>
      </c>
      <c r="G212" s="744" t="s">
        <v>2383</v>
      </c>
      <c r="H212" s="744" t="s">
        <v>2384</v>
      </c>
      <c r="I212" s="743" t="s">
        <v>2596</v>
      </c>
      <c r="J212" s="749"/>
      <c r="K212" s="749"/>
      <c r="L212" s="749"/>
      <c r="M212" s="749"/>
      <c r="N212" s="743">
        <v>20000</v>
      </c>
      <c r="O212" s="749"/>
      <c r="P212" s="749"/>
      <c r="Q212" s="749"/>
      <c r="R212" s="749"/>
      <c r="S212" s="749"/>
      <c r="T212" s="749"/>
      <c r="U212" s="749"/>
      <c r="V212" s="749"/>
      <c r="W212" s="749"/>
      <c r="X212" s="749"/>
      <c r="Y212" s="749"/>
      <c r="Z212" s="749"/>
      <c r="AA212" s="749"/>
      <c r="AB212" s="749"/>
      <c r="AC212" s="749"/>
      <c r="AD212" s="749"/>
      <c r="AE212" s="749"/>
      <c r="AF212" s="749"/>
      <c r="AG212" s="749"/>
      <c r="AH212" s="749"/>
      <c r="AI212" s="749"/>
      <c r="AJ212" s="749"/>
      <c r="AK212" s="749"/>
      <c r="AL212" s="749"/>
      <c r="AM212" s="756"/>
    </row>
    <row r="213" s="737" customFormat="1" ht="18" customHeight="1" spans="1:39">
      <c r="A213" s="741">
        <v>45994</v>
      </c>
      <c r="B213" s="742">
        <v>17006695</v>
      </c>
      <c r="C213" s="743" t="s">
        <v>2597</v>
      </c>
      <c r="D213" s="743" t="s">
        <v>2598</v>
      </c>
      <c r="E213" s="743">
        <v>77486</v>
      </c>
      <c r="F213" s="743">
        <v>11376</v>
      </c>
      <c r="G213" s="744" t="s">
        <v>2400</v>
      </c>
      <c r="H213" s="744" t="s">
        <v>2587</v>
      </c>
      <c r="I213" s="743" t="s">
        <v>2587</v>
      </c>
      <c r="J213" s="749"/>
      <c r="K213" s="749"/>
      <c r="L213" s="749"/>
      <c r="M213" s="749"/>
      <c r="N213" s="743"/>
      <c r="O213" s="749"/>
      <c r="P213" s="749"/>
      <c r="Q213" s="749"/>
      <c r="R213" s="749"/>
      <c r="S213" s="749"/>
      <c r="T213" s="749"/>
      <c r="U213" s="749"/>
      <c r="V213" s="749"/>
      <c r="W213" s="749"/>
      <c r="X213" s="749"/>
      <c r="Y213" s="749"/>
      <c r="Z213" s="749"/>
      <c r="AA213" s="749"/>
      <c r="AB213" s="749"/>
      <c r="AC213" s="749"/>
      <c r="AD213" s="749"/>
      <c r="AE213" s="749"/>
      <c r="AF213" s="749"/>
      <c r="AG213" s="749"/>
      <c r="AH213" s="743">
        <v>11376</v>
      </c>
      <c r="AI213" s="749"/>
      <c r="AJ213" s="749"/>
      <c r="AK213" s="749"/>
      <c r="AL213" s="749"/>
      <c r="AM213" s="756"/>
    </row>
    <row r="214" s="737" customFormat="1" ht="18" customHeight="1" spans="1:39">
      <c r="A214" s="741">
        <v>45994</v>
      </c>
      <c r="B214" s="742">
        <v>17008889</v>
      </c>
      <c r="C214" s="743" t="s">
        <v>2599</v>
      </c>
      <c r="D214" s="743" t="s">
        <v>2598</v>
      </c>
      <c r="E214" s="743">
        <v>77486</v>
      </c>
      <c r="F214" s="743">
        <v>11376</v>
      </c>
      <c r="G214" s="744" t="s">
        <v>2399</v>
      </c>
      <c r="H214" s="744" t="s">
        <v>2393</v>
      </c>
      <c r="I214" s="743" t="s">
        <v>2434</v>
      </c>
      <c r="J214" s="749"/>
      <c r="K214" s="749"/>
      <c r="L214" s="749"/>
      <c r="M214" s="749"/>
      <c r="N214" s="743"/>
      <c r="O214" s="749"/>
      <c r="P214" s="749"/>
      <c r="Q214" s="749"/>
      <c r="R214" s="749"/>
      <c r="S214" s="749"/>
      <c r="T214" s="749"/>
      <c r="U214" s="749"/>
      <c r="V214" s="749"/>
      <c r="W214" s="749"/>
      <c r="X214" s="749"/>
      <c r="Y214" s="749"/>
      <c r="Z214" s="749"/>
      <c r="AA214" s="749"/>
      <c r="AB214" s="749"/>
      <c r="AC214" s="749"/>
      <c r="AD214" s="749"/>
      <c r="AE214" s="749"/>
      <c r="AF214" s="749"/>
      <c r="AG214" s="743">
        <v>11376</v>
      </c>
      <c r="AH214" s="749"/>
      <c r="AI214" s="749"/>
      <c r="AJ214" s="749"/>
      <c r="AK214" s="749"/>
      <c r="AL214" s="749"/>
      <c r="AM214" s="756"/>
    </row>
    <row r="215" s="737" customFormat="1" ht="18" customHeight="1" spans="1:39">
      <c r="A215" s="741">
        <v>45994</v>
      </c>
      <c r="B215" s="742">
        <v>17006693</v>
      </c>
      <c r="C215" s="743" t="s">
        <v>2600</v>
      </c>
      <c r="D215" s="743" t="s">
        <v>2598</v>
      </c>
      <c r="E215" s="743">
        <v>77486</v>
      </c>
      <c r="F215" s="743">
        <v>10000</v>
      </c>
      <c r="G215" s="744" t="s">
        <v>2398</v>
      </c>
      <c r="H215" s="744" t="s">
        <v>2587</v>
      </c>
      <c r="I215" s="743" t="s">
        <v>2587</v>
      </c>
      <c r="J215" s="749"/>
      <c r="K215" s="749"/>
      <c r="L215" s="749"/>
      <c r="M215" s="749"/>
      <c r="N215" s="743">
        <v>20000</v>
      </c>
      <c r="O215" s="749"/>
      <c r="P215" s="749"/>
      <c r="Q215" s="749"/>
      <c r="R215" s="749"/>
      <c r="S215" s="749"/>
      <c r="T215" s="749"/>
      <c r="U215" s="749"/>
      <c r="V215" s="749"/>
      <c r="W215" s="749"/>
      <c r="X215" s="749"/>
      <c r="Y215" s="749"/>
      <c r="Z215" s="749"/>
      <c r="AA215" s="749"/>
      <c r="AB215" s="749"/>
      <c r="AC215" s="749"/>
      <c r="AD215" s="749"/>
      <c r="AE215" s="749"/>
      <c r="AF215" s="743">
        <v>10000</v>
      </c>
      <c r="AG215" s="749"/>
      <c r="AH215" s="749"/>
      <c r="AI215" s="749"/>
      <c r="AJ215" s="749"/>
      <c r="AK215" s="749"/>
      <c r="AL215" s="749"/>
      <c r="AM215" s="756"/>
    </row>
    <row r="216" s="737" customFormat="1" ht="18" customHeight="1" spans="1:39">
      <c r="A216" s="741"/>
      <c r="B216" s="742"/>
      <c r="C216" s="743"/>
      <c r="D216" s="743"/>
      <c r="E216" s="743"/>
      <c r="F216" s="743"/>
      <c r="G216" s="744"/>
      <c r="H216" s="744"/>
      <c r="I216" s="743"/>
      <c r="J216" s="749"/>
      <c r="K216" s="749"/>
      <c r="L216" s="749"/>
      <c r="M216" s="749"/>
      <c r="N216" s="743"/>
      <c r="O216" s="749"/>
      <c r="P216" s="749"/>
      <c r="Q216" s="749"/>
      <c r="R216" s="749"/>
      <c r="S216" s="749"/>
      <c r="T216" s="749"/>
      <c r="U216" s="749"/>
      <c r="V216" s="749"/>
      <c r="W216" s="749"/>
      <c r="X216" s="749"/>
      <c r="Y216" s="749"/>
      <c r="Z216" s="749"/>
      <c r="AA216" s="749"/>
      <c r="AB216" s="749"/>
      <c r="AC216" s="749"/>
      <c r="AD216" s="749"/>
      <c r="AE216" s="749"/>
      <c r="AF216" s="749"/>
      <c r="AG216" s="749"/>
      <c r="AH216" s="749"/>
      <c r="AI216" s="749"/>
      <c r="AJ216" s="749"/>
      <c r="AK216" s="749"/>
      <c r="AL216" s="749"/>
      <c r="AM216" s="756"/>
    </row>
    <row r="217" s="737" customFormat="1" ht="18" customHeight="1" spans="1:39">
      <c r="A217" s="741"/>
      <c r="B217" s="742"/>
      <c r="C217" s="743"/>
      <c r="D217" s="743"/>
      <c r="E217" s="743"/>
      <c r="F217" s="743"/>
      <c r="G217" s="744"/>
      <c r="H217" s="744"/>
      <c r="I217" s="743"/>
      <c r="J217" s="749"/>
      <c r="K217" s="749"/>
      <c r="L217" s="749"/>
      <c r="M217" s="749"/>
      <c r="N217" s="749"/>
      <c r="O217" s="749"/>
      <c r="P217" s="749"/>
      <c r="Q217" s="749"/>
      <c r="R217" s="749"/>
      <c r="S217" s="749"/>
      <c r="T217" s="749"/>
      <c r="U217" s="749"/>
      <c r="V217" s="749"/>
      <c r="W217" s="749"/>
      <c r="X217" s="749"/>
      <c r="Y217" s="749"/>
      <c r="Z217" s="749"/>
      <c r="AA217" s="749"/>
      <c r="AB217" s="749"/>
      <c r="AC217" s="749"/>
      <c r="AD217" s="749"/>
      <c r="AE217" s="749"/>
      <c r="AF217" s="749"/>
      <c r="AG217" s="749"/>
      <c r="AH217" s="749"/>
      <c r="AI217" s="749"/>
      <c r="AJ217" s="749"/>
      <c r="AK217" s="749"/>
      <c r="AL217" s="749"/>
      <c r="AM217" s="756"/>
    </row>
    <row r="218" s="737" customFormat="1" ht="18" customHeight="1" spans="1:39">
      <c r="A218" s="741"/>
      <c r="B218" s="742"/>
      <c r="C218" s="743"/>
      <c r="D218" s="743"/>
      <c r="E218" s="743"/>
      <c r="F218" s="743"/>
      <c r="G218" s="744"/>
      <c r="H218" s="744"/>
      <c r="I218" s="743"/>
      <c r="J218" s="749"/>
      <c r="K218" s="749"/>
      <c r="L218" s="749"/>
      <c r="M218" s="749"/>
      <c r="N218" s="749"/>
      <c r="O218" s="749"/>
      <c r="P218" s="749"/>
      <c r="Q218" s="749"/>
      <c r="R218" s="749"/>
      <c r="S218" s="749"/>
      <c r="T218" s="749"/>
      <c r="U218" s="749"/>
      <c r="V218" s="749"/>
      <c r="W218" s="749"/>
      <c r="X218" s="749"/>
      <c r="Y218" s="749"/>
      <c r="Z218" s="749"/>
      <c r="AA218" s="749"/>
      <c r="AB218" s="749"/>
      <c r="AC218" s="749"/>
      <c r="AD218" s="749"/>
      <c r="AE218" s="749"/>
      <c r="AF218" s="749"/>
      <c r="AG218" s="749"/>
      <c r="AH218" s="749"/>
      <c r="AI218" s="749"/>
      <c r="AJ218" s="749"/>
      <c r="AK218" s="749"/>
      <c r="AL218" s="749"/>
      <c r="AM218" s="756"/>
    </row>
    <row r="219" s="737" customFormat="1" ht="18" customHeight="1" spans="1:39">
      <c r="A219" s="741"/>
      <c r="B219" s="742"/>
      <c r="C219" s="743"/>
      <c r="D219" s="743"/>
      <c r="E219" s="743"/>
      <c r="F219" s="743"/>
      <c r="G219" s="744"/>
      <c r="H219" s="744"/>
      <c r="I219" s="743"/>
      <c r="J219" s="749"/>
      <c r="K219" s="749"/>
      <c r="L219" s="749"/>
      <c r="M219" s="749"/>
      <c r="N219" s="749"/>
      <c r="O219" s="749"/>
      <c r="P219" s="749"/>
      <c r="Q219" s="749"/>
      <c r="R219" s="749"/>
      <c r="S219" s="749"/>
      <c r="T219" s="749"/>
      <c r="U219" s="749"/>
      <c r="V219" s="749"/>
      <c r="W219" s="749"/>
      <c r="X219" s="749"/>
      <c r="Y219" s="749"/>
      <c r="Z219" s="749"/>
      <c r="AA219" s="749"/>
      <c r="AB219" s="749"/>
      <c r="AC219" s="749"/>
      <c r="AD219" s="749"/>
      <c r="AE219" s="749"/>
      <c r="AF219" s="749"/>
      <c r="AG219" s="749"/>
      <c r="AH219" s="749"/>
      <c r="AI219" s="749"/>
      <c r="AJ219" s="749"/>
      <c r="AK219" s="749"/>
      <c r="AL219" s="749"/>
      <c r="AM219" s="756"/>
    </row>
    <row r="220" s="737" customFormat="1" ht="18" customHeight="1" spans="1:39">
      <c r="A220" s="741"/>
      <c r="B220" s="742"/>
      <c r="C220" s="743"/>
      <c r="D220" s="743"/>
      <c r="E220" s="743"/>
      <c r="F220" s="743"/>
      <c r="G220" s="744"/>
      <c r="H220" s="744"/>
      <c r="I220" s="743"/>
      <c r="J220" s="749"/>
      <c r="K220" s="749"/>
      <c r="L220" s="749"/>
      <c r="M220" s="749"/>
      <c r="N220" s="749"/>
      <c r="O220" s="749"/>
      <c r="P220" s="749"/>
      <c r="Q220" s="749"/>
      <c r="R220" s="749"/>
      <c r="S220" s="749"/>
      <c r="T220" s="749"/>
      <c r="U220" s="749"/>
      <c r="V220" s="749"/>
      <c r="W220" s="749"/>
      <c r="X220" s="749"/>
      <c r="Y220" s="749"/>
      <c r="Z220" s="749"/>
      <c r="AA220" s="749"/>
      <c r="AB220" s="749"/>
      <c r="AC220" s="749"/>
      <c r="AD220" s="749"/>
      <c r="AE220" s="749"/>
      <c r="AF220" s="749"/>
      <c r="AG220" s="749"/>
      <c r="AH220" s="749"/>
      <c r="AI220" s="749"/>
      <c r="AJ220" s="749"/>
      <c r="AK220" s="749"/>
      <c r="AL220" s="749"/>
      <c r="AM220" s="756"/>
    </row>
    <row r="221" s="737" customFormat="1" ht="18" customHeight="1" spans="1:39">
      <c r="A221" s="741"/>
      <c r="B221" s="742"/>
      <c r="C221" s="743"/>
      <c r="D221" s="743"/>
      <c r="E221" s="743"/>
      <c r="F221" s="743"/>
      <c r="G221" s="744"/>
      <c r="H221" s="744"/>
      <c r="I221" s="743"/>
      <c r="J221" s="749"/>
      <c r="K221" s="749"/>
      <c r="L221" s="749"/>
      <c r="M221" s="749"/>
      <c r="N221" s="749"/>
      <c r="O221" s="749"/>
      <c r="P221" s="749"/>
      <c r="Q221" s="749"/>
      <c r="R221" s="749"/>
      <c r="S221" s="749"/>
      <c r="T221" s="749"/>
      <c r="U221" s="749"/>
      <c r="V221" s="749"/>
      <c r="W221" s="749"/>
      <c r="X221" s="749"/>
      <c r="Y221" s="749"/>
      <c r="Z221" s="749"/>
      <c r="AA221" s="749"/>
      <c r="AB221" s="749"/>
      <c r="AC221" s="749"/>
      <c r="AD221" s="749"/>
      <c r="AE221" s="749"/>
      <c r="AF221" s="749"/>
      <c r="AG221" s="749"/>
      <c r="AH221" s="749"/>
      <c r="AI221" s="749"/>
      <c r="AJ221" s="749"/>
      <c r="AK221" s="749"/>
      <c r="AL221" s="749"/>
      <c r="AM221" s="756"/>
    </row>
    <row r="222" s="737" customFormat="1" ht="18" customHeight="1" spans="1:39">
      <c r="A222" s="741"/>
      <c r="B222" s="742"/>
      <c r="C222" s="743" t="s">
        <v>2601</v>
      </c>
      <c r="D222" s="743"/>
      <c r="E222" s="743">
        <v>77486</v>
      </c>
      <c r="F222" s="743"/>
      <c r="G222" s="744"/>
      <c r="H222" s="744"/>
      <c r="I222" s="743"/>
      <c r="J222" s="749"/>
      <c r="K222" s="749"/>
      <c r="L222" s="749"/>
      <c r="M222" s="749"/>
      <c r="N222" s="749"/>
      <c r="O222" s="749"/>
      <c r="P222" s="749"/>
      <c r="Q222" s="749"/>
      <c r="R222" s="749"/>
      <c r="S222" s="749"/>
      <c r="T222" s="749"/>
      <c r="U222" s="749"/>
      <c r="V222" s="749"/>
      <c r="W222" s="749"/>
      <c r="X222" s="749"/>
      <c r="Y222" s="749"/>
      <c r="Z222" s="749"/>
      <c r="AA222" s="749"/>
      <c r="AB222" s="749"/>
      <c r="AC222" s="749"/>
      <c r="AD222" s="749"/>
      <c r="AE222" s="749"/>
      <c r="AF222" s="749">
        <v>43904</v>
      </c>
      <c r="AG222" s="749">
        <v>43184</v>
      </c>
      <c r="AH222" s="749">
        <v>46712</v>
      </c>
      <c r="AI222" s="749"/>
      <c r="AJ222" s="749"/>
      <c r="AK222" s="749"/>
      <c r="AL222" s="749"/>
      <c r="AM222" s="756"/>
    </row>
    <row r="223" s="737" customFormat="1" ht="18" customHeight="1" spans="1:39">
      <c r="A223" s="741"/>
      <c r="B223" s="742"/>
      <c r="C223" s="743"/>
      <c r="D223" s="743"/>
      <c r="E223" s="743"/>
      <c r="F223" s="743"/>
      <c r="G223" s="744"/>
      <c r="H223" s="744"/>
      <c r="I223" s="743"/>
      <c r="J223" s="749"/>
      <c r="K223" s="749"/>
      <c r="L223" s="749"/>
      <c r="M223" s="749"/>
      <c r="N223" s="749"/>
      <c r="O223" s="749"/>
      <c r="P223" s="749"/>
      <c r="Q223" s="749"/>
      <c r="R223" s="749"/>
      <c r="S223" s="749"/>
      <c r="T223" s="749"/>
      <c r="U223" s="749"/>
      <c r="V223" s="749"/>
      <c r="W223" s="749"/>
      <c r="X223" s="749"/>
      <c r="Y223" s="749"/>
      <c r="Z223" s="749"/>
      <c r="AA223" s="749"/>
      <c r="AB223" s="749"/>
      <c r="AC223" s="749"/>
      <c r="AD223" s="749"/>
      <c r="AE223" s="749"/>
      <c r="AF223" s="749"/>
      <c r="AG223" s="749"/>
      <c r="AH223" s="749"/>
      <c r="AI223" s="749"/>
      <c r="AJ223" s="749"/>
      <c r="AK223" s="749"/>
      <c r="AL223" s="749"/>
      <c r="AM223" s="756"/>
    </row>
    <row r="224" spans="1:39">
      <c r="A224" s="790"/>
      <c r="B224" s="743"/>
      <c r="C224" s="791"/>
      <c r="D224" s="791"/>
      <c r="E224" s="791"/>
      <c r="F224" s="791"/>
      <c r="G224" s="792"/>
      <c r="H224" s="792"/>
      <c r="I224" s="792"/>
      <c r="J224" s="764"/>
      <c r="K224" s="764"/>
      <c r="L224" s="764"/>
      <c r="M224" s="764"/>
      <c r="N224" s="764"/>
      <c r="O224" s="764"/>
      <c r="P224" s="764"/>
      <c r="Q224" s="764"/>
      <c r="R224" s="766"/>
      <c r="S224" s="766"/>
      <c r="T224" s="766"/>
      <c r="U224" s="766"/>
      <c r="V224" s="766"/>
      <c r="W224" s="766"/>
      <c r="X224" s="766"/>
      <c r="Y224" s="766"/>
      <c r="Z224" s="766"/>
      <c r="AA224" s="766"/>
      <c r="AB224" s="766"/>
      <c r="AC224" s="766"/>
      <c r="AD224" s="766"/>
      <c r="AE224" s="766"/>
      <c r="AF224" s="766"/>
      <c r="AG224" s="766"/>
      <c r="AH224" s="764"/>
      <c r="AI224" s="764"/>
      <c r="AJ224" s="764"/>
      <c r="AK224" s="764"/>
      <c r="AL224" s="766"/>
      <c r="AM224" s="784"/>
    </row>
    <row r="225" spans="1:39">
      <c r="A225" s="763"/>
      <c r="B225" s="764"/>
      <c r="C225" s="764"/>
      <c r="D225" s="764"/>
      <c r="E225" s="765"/>
      <c r="F225" s="765"/>
      <c r="G225" s="766"/>
      <c r="H225" s="766"/>
      <c r="I225" s="765"/>
      <c r="J225" s="764"/>
      <c r="K225" s="764"/>
      <c r="L225" s="764"/>
      <c r="M225" s="764"/>
      <c r="N225" s="764"/>
      <c r="O225" s="764"/>
      <c r="P225" s="764"/>
      <c r="Q225" s="764"/>
      <c r="R225" s="766"/>
      <c r="S225" s="766"/>
      <c r="T225" s="766"/>
      <c r="U225" s="766"/>
      <c r="V225" s="766"/>
      <c r="W225" s="766"/>
      <c r="X225" s="766"/>
      <c r="Y225" s="766"/>
      <c r="Z225" s="766"/>
      <c r="AA225" s="766"/>
      <c r="AB225" s="766"/>
      <c r="AC225" s="766"/>
      <c r="AD225" s="766"/>
      <c r="AE225" s="766"/>
      <c r="AF225" s="766"/>
      <c r="AG225" s="766"/>
      <c r="AH225" s="764"/>
      <c r="AI225" s="764"/>
      <c r="AJ225" s="764"/>
      <c r="AK225" s="764"/>
      <c r="AL225" s="766"/>
      <c r="AM225" s="784"/>
    </row>
    <row r="226" spans="1:39">
      <c r="A226" s="767" t="s">
        <v>2343</v>
      </c>
      <c r="B226" s="768"/>
      <c r="C226" s="768"/>
      <c r="D226" s="768"/>
      <c r="E226" s="768"/>
      <c r="F226" s="768"/>
      <c r="G226" s="768"/>
      <c r="H226" s="768"/>
      <c r="I226" s="769"/>
      <c r="J226" s="780">
        <f>SUM(J3:J225)</f>
        <v>2034000</v>
      </c>
      <c r="K226" s="780">
        <f>SUM(K3:K225)</f>
        <v>160760</v>
      </c>
      <c r="L226" s="780">
        <f>SUM(L3:L225)</f>
        <v>63936</v>
      </c>
      <c r="M226" s="780">
        <f>SUM(M3:M225)</f>
        <v>312000</v>
      </c>
      <c r="N226" s="780">
        <f t="shared" ref="M226:U226" si="0">SUM(N3:N225)</f>
        <v>2220000</v>
      </c>
      <c r="O226" s="780">
        <f t="shared" si="0"/>
        <v>357336</v>
      </c>
      <c r="P226" s="780">
        <f t="shared" si="0"/>
        <v>37019</v>
      </c>
      <c r="Q226" s="780">
        <f t="shared" si="0"/>
        <v>4790</v>
      </c>
      <c r="R226" s="780">
        <f t="shared" si="0"/>
        <v>18000</v>
      </c>
      <c r="S226" s="780">
        <f t="shared" si="0"/>
        <v>31140</v>
      </c>
      <c r="T226" s="780">
        <f t="shared" si="0"/>
        <v>1000</v>
      </c>
      <c r="U226" s="780">
        <f t="shared" si="0"/>
        <v>5206</v>
      </c>
      <c r="V226" s="780">
        <f t="shared" ref="V226:AC226" si="1">SUM(V3:V225)</f>
        <v>10100</v>
      </c>
      <c r="W226" s="780">
        <f t="shared" si="1"/>
        <v>2200</v>
      </c>
      <c r="X226" s="780">
        <f t="shared" si="1"/>
        <v>4000</v>
      </c>
      <c r="Y226" s="780">
        <f t="shared" si="1"/>
        <v>6100</v>
      </c>
      <c r="Z226" s="780">
        <f t="shared" si="1"/>
        <v>1761</v>
      </c>
      <c r="AA226" s="780">
        <f t="shared" si="1"/>
        <v>1801</v>
      </c>
      <c r="AB226" s="780">
        <f t="shared" si="1"/>
        <v>600</v>
      </c>
      <c r="AC226" s="780">
        <f t="shared" si="1"/>
        <v>300</v>
      </c>
      <c r="AD226" s="780">
        <f t="shared" ref="AD226:AL226" si="2">SUM(AD3:AD225)</f>
        <v>105660</v>
      </c>
      <c r="AE226" s="780">
        <f t="shared" si="2"/>
        <v>105660</v>
      </c>
      <c r="AF226" s="780">
        <f t="shared" si="2"/>
        <v>194304</v>
      </c>
      <c r="AG226" s="780">
        <f t="shared" si="2"/>
        <v>190680</v>
      </c>
      <c r="AH226" s="780">
        <f t="shared" si="2"/>
        <v>190680</v>
      </c>
      <c r="AI226" s="780">
        <f t="shared" si="2"/>
        <v>11592</v>
      </c>
      <c r="AJ226" s="780">
        <f t="shared" si="2"/>
        <v>11592</v>
      </c>
      <c r="AK226" s="780">
        <f t="shared" si="2"/>
        <v>11592</v>
      </c>
      <c r="AL226" s="780">
        <f t="shared" si="2"/>
        <v>8308</v>
      </c>
      <c r="AM226" s="785"/>
    </row>
    <row r="227" spans="1:39">
      <c r="A227" s="775"/>
      <c r="B227" s="776"/>
      <c r="C227" s="776"/>
      <c r="D227" s="776"/>
      <c r="E227" s="776"/>
      <c r="F227" s="776"/>
      <c r="G227" s="776"/>
      <c r="H227" s="776"/>
      <c r="I227" s="777"/>
      <c r="J227" s="781"/>
      <c r="K227" s="781"/>
      <c r="L227" s="781"/>
      <c r="M227" s="781"/>
      <c r="N227" s="781"/>
      <c r="O227" s="781"/>
      <c r="P227" s="781"/>
      <c r="Q227" s="781"/>
      <c r="R227" s="781"/>
      <c r="S227" s="781"/>
      <c r="T227" s="781"/>
      <c r="U227" s="781"/>
      <c r="V227" s="781"/>
      <c r="W227" s="781"/>
      <c r="X227" s="781"/>
      <c r="Y227" s="781"/>
      <c r="Z227" s="781"/>
      <c r="AA227" s="781"/>
      <c r="AB227" s="781"/>
      <c r="AC227" s="781"/>
      <c r="AD227" s="781"/>
      <c r="AE227" s="781"/>
      <c r="AF227" s="781"/>
      <c r="AG227" s="781"/>
      <c r="AH227" s="781"/>
      <c r="AI227" s="781"/>
      <c r="AJ227" s="781"/>
      <c r="AK227" s="781"/>
      <c r="AL227" s="781"/>
      <c r="AM227" s="786"/>
    </row>
    <row r="228" spans="1:39">
      <c r="A228" s="767" t="s">
        <v>2344</v>
      </c>
      <c r="B228" s="768"/>
      <c r="C228" s="768"/>
      <c r="D228" s="768"/>
      <c r="E228" s="768"/>
      <c r="F228" s="768"/>
      <c r="G228" s="768"/>
      <c r="H228" s="768"/>
      <c r="I228" s="769"/>
      <c r="J228" s="780">
        <f>'77485 S3 明细'!AK332+J232</f>
        <v>2062594</v>
      </c>
      <c r="K228" s="780">
        <f>'77485 S3 明细'!AL332+K232</f>
        <v>137304</v>
      </c>
      <c r="L228" s="780">
        <f>'77485 S3 明细'!AM332</f>
        <v>58464</v>
      </c>
      <c r="M228" s="780">
        <f>'77485 S3 明细'!AN332+M232</f>
        <v>293387</v>
      </c>
      <c r="N228" s="780">
        <f>'77485 S3 明细'!AP332+'77485 S3 明细'!AQ332+N232</f>
        <v>2247209</v>
      </c>
      <c r="O228" s="780">
        <f>'77485 S3 明细'!AS332+O232</f>
        <v>344472</v>
      </c>
      <c r="P228" s="780">
        <f>'77485 S3 明细'!AT332+P232</f>
        <v>36932.5714285714</v>
      </c>
      <c r="Q228" s="780">
        <f>'77485 S3 明细'!AU332+Q232</f>
        <v>4551</v>
      </c>
      <c r="R228" s="780">
        <f>'77485 S3 明细'!AV332+R232</f>
        <v>16115</v>
      </c>
      <c r="S228" s="780">
        <f>'77485 S3 明细'!AX332+S232</f>
        <v>29282</v>
      </c>
      <c r="T228" s="780">
        <f>'77485 S3 明细'!AY332+T232</f>
        <v>922</v>
      </c>
      <c r="U228" s="780">
        <f>'77485 S3 明细'!AZ332+U232</f>
        <v>6857</v>
      </c>
      <c r="V228" s="780">
        <f>'77485 S3 明细'!BA332+V232</f>
        <v>10622</v>
      </c>
      <c r="W228" s="780">
        <f>'77485 S3 明细'!BB332+W232</f>
        <v>1818</v>
      </c>
      <c r="X228" s="780">
        <f>'77485 S3 明细'!BC332+X232</f>
        <v>3896</v>
      </c>
      <c r="Y228" s="780">
        <f>'77485 S3 明细'!BD332+Y232</f>
        <v>5941</v>
      </c>
      <c r="Z228" s="780">
        <f>'77485 S3 明细'!BE332+Z232</f>
        <v>1761</v>
      </c>
      <c r="AA228" s="780">
        <f>'77485 S3 明细'!BF332+AA232</f>
        <v>1801</v>
      </c>
      <c r="AB228" s="780">
        <f>'77485 S3 明细'!BG332+AB232</f>
        <v>586</v>
      </c>
      <c r="AC228" s="780">
        <f>'77485 S3 明细'!BH332+AC232</f>
        <v>298</v>
      </c>
      <c r="AD228" s="780">
        <f>'77485 S3 明细'!BI332+AD232</f>
        <v>105660</v>
      </c>
      <c r="AE228" s="780">
        <f>'77485 S3 明细'!BJ332+AE232</f>
        <v>105660</v>
      </c>
      <c r="AF228" s="780">
        <f>'77485 S3 明细'!BL332+AF232</f>
        <v>197604</v>
      </c>
      <c r="AG228" s="780">
        <f>'77485 S3 明细'!BM332+AG232</f>
        <v>181428</v>
      </c>
      <c r="AH228" s="780">
        <f>'77485 S3 明细'!BO332+AH232</f>
        <v>197604</v>
      </c>
      <c r="AI228" s="780">
        <f>'77485 S3 明细'!BP332</f>
        <v>11592</v>
      </c>
      <c r="AJ228" s="780">
        <f>'77485 S3 明细'!BQ332</f>
        <v>11592</v>
      </c>
      <c r="AK228" s="780">
        <f>'77485 S3 明细'!BR332</f>
        <v>11592</v>
      </c>
      <c r="AL228" s="780">
        <f>'77485 S3 明细'!BR332+AL232</f>
        <v>19900</v>
      </c>
      <c r="AM228" s="785"/>
    </row>
    <row r="229" spans="1:39">
      <c r="A229" s="793"/>
      <c r="B229" s="793"/>
      <c r="C229" s="793"/>
      <c r="D229" s="793"/>
      <c r="E229" s="793"/>
      <c r="F229" s="793"/>
      <c r="G229" s="794"/>
      <c r="H229" s="794"/>
      <c r="I229" s="794"/>
      <c r="J229" s="781"/>
      <c r="K229" s="781"/>
      <c r="L229" s="781"/>
      <c r="M229" s="781"/>
      <c r="N229" s="781"/>
      <c r="O229" s="781"/>
      <c r="P229" s="781"/>
      <c r="Q229" s="781"/>
      <c r="R229" s="781"/>
      <c r="S229" s="781"/>
      <c r="T229" s="781"/>
      <c r="U229" s="781"/>
      <c r="V229" s="781"/>
      <c r="W229" s="781"/>
      <c r="X229" s="781"/>
      <c r="Y229" s="781"/>
      <c r="Z229" s="781"/>
      <c r="AA229" s="781"/>
      <c r="AB229" s="781"/>
      <c r="AC229" s="781"/>
      <c r="AD229" s="781"/>
      <c r="AE229" s="781"/>
      <c r="AF229" s="781"/>
      <c r="AG229" s="781"/>
      <c r="AH229" s="781"/>
      <c r="AI229" s="781"/>
      <c r="AJ229" s="781"/>
      <c r="AK229" s="781"/>
      <c r="AL229" s="781"/>
      <c r="AM229" s="786"/>
    </row>
    <row r="230" spans="1:39">
      <c r="A230" s="775" t="s">
        <v>30</v>
      </c>
      <c r="B230" s="776"/>
      <c r="C230" s="776"/>
      <c r="D230" s="776"/>
      <c r="E230" s="776"/>
      <c r="F230" s="776"/>
      <c r="G230" s="776"/>
      <c r="H230" s="776"/>
      <c r="I230" s="777"/>
      <c r="J230" s="782">
        <f t="shared" ref="J230:L230" si="3">J226-J228</f>
        <v>-28594</v>
      </c>
      <c r="K230" s="782">
        <f t="shared" si="3"/>
        <v>23456</v>
      </c>
      <c r="L230" s="782">
        <f t="shared" si="3"/>
        <v>5472</v>
      </c>
      <c r="M230" s="782">
        <f t="shared" ref="M230:U230" si="4">M226-M228</f>
        <v>18613</v>
      </c>
      <c r="N230" s="782">
        <f t="shared" si="4"/>
        <v>-27209</v>
      </c>
      <c r="O230" s="782">
        <f t="shared" si="4"/>
        <v>12864</v>
      </c>
      <c r="P230" s="782">
        <f t="shared" si="4"/>
        <v>86.4285714286016</v>
      </c>
      <c r="Q230" s="782">
        <f t="shared" si="4"/>
        <v>239</v>
      </c>
      <c r="R230" s="782">
        <f t="shared" si="4"/>
        <v>1885</v>
      </c>
      <c r="S230" s="782">
        <f t="shared" si="4"/>
        <v>1858</v>
      </c>
      <c r="T230" s="782">
        <f t="shared" si="4"/>
        <v>78</v>
      </c>
      <c r="U230" s="782">
        <f t="shared" si="4"/>
        <v>-1651</v>
      </c>
      <c r="V230" s="782">
        <f t="shared" ref="V230:AC230" si="5">V226-V228</f>
        <v>-522</v>
      </c>
      <c r="W230" s="782">
        <f t="shared" si="5"/>
        <v>382</v>
      </c>
      <c r="X230" s="782">
        <f t="shared" si="5"/>
        <v>104</v>
      </c>
      <c r="Y230" s="782">
        <f t="shared" si="5"/>
        <v>159</v>
      </c>
      <c r="Z230" s="782">
        <f t="shared" si="5"/>
        <v>0</v>
      </c>
      <c r="AA230" s="782">
        <f t="shared" si="5"/>
        <v>0</v>
      </c>
      <c r="AB230" s="782">
        <f t="shared" si="5"/>
        <v>14</v>
      </c>
      <c r="AC230" s="782">
        <f t="shared" si="5"/>
        <v>2</v>
      </c>
      <c r="AD230" s="782">
        <f t="shared" ref="AD230:AL230" si="6">AD226-AD228</f>
        <v>0</v>
      </c>
      <c r="AE230" s="782">
        <f t="shared" si="6"/>
        <v>0</v>
      </c>
      <c r="AF230" s="782">
        <f t="shared" si="6"/>
        <v>-3300</v>
      </c>
      <c r="AG230" s="782">
        <f t="shared" si="6"/>
        <v>9252</v>
      </c>
      <c r="AH230" s="782">
        <f t="shared" si="6"/>
        <v>-6924</v>
      </c>
      <c r="AI230" s="782">
        <f t="shared" si="6"/>
        <v>0</v>
      </c>
      <c r="AJ230" s="782">
        <f t="shared" si="6"/>
        <v>0</v>
      </c>
      <c r="AK230" s="782">
        <f t="shared" si="6"/>
        <v>0</v>
      </c>
      <c r="AL230" s="782">
        <f t="shared" si="6"/>
        <v>-11592</v>
      </c>
      <c r="AM230" s="749"/>
    </row>
    <row r="232" spans="8:38">
      <c r="H232" s="736" t="s">
        <v>2180</v>
      </c>
      <c r="J232" s="736">
        <v>1699946</v>
      </c>
      <c r="K232" s="736">
        <v>131592</v>
      </c>
      <c r="M232" s="736">
        <v>190819</v>
      </c>
      <c r="N232" s="736">
        <v>1829822</v>
      </c>
      <c r="O232" s="736">
        <v>237336</v>
      </c>
      <c r="P232" s="736">
        <v>36932.5714285714</v>
      </c>
      <c r="Q232" s="736">
        <v>4551</v>
      </c>
      <c r="R232" s="736">
        <v>16115</v>
      </c>
      <c r="S232" s="736">
        <v>19970</v>
      </c>
      <c r="T232" s="736">
        <v>922</v>
      </c>
      <c r="U232" s="736">
        <v>0</v>
      </c>
      <c r="V232" s="736">
        <v>7946</v>
      </c>
      <c r="W232" s="736">
        <v>1726</v>
      </c>
      <c r="X232" s="736">
        <v>2908</v>
      </c>
      <c r="Y232" s="736">
        <v>2595</v>
      </c>
      <c r="Z232" s="736">
        <v>1761</v>
      </c>
      <c r="AA232" s="736">
        <v>1801</v>
      </c>
      <c r="AB232" s="736">
        <v>586</v>
      </c>
      <c r="AC232" s="736">
        <v>211</v>
      </c>
      <c r="AD232" s="736">
        <v>105660</v>
      </c>
      <c r="AE232" s="736">
        <v>105660</v>
      </c>
      <c r="AF232" s="736">
        <v>124848</v>
      </c>
      <c r="AG232" s="736">
        <v>124848</v>
      </c>
      <c r="AH232" s="736">
        <v>124848</v>
      </c>
      <c r="AL232" s="736">
        <v>8308</v>
      </c>
    </row>
  </sheetData>
  <autoFilter xmlns:etc="http://www.wps.cn/officeDocument/2017/etCustomData" ref="A2:AM222" etc:filterBottomFollowUsedRange="0">
    <extLst/>
  </autoFilter>
  <mergeCells count="5">
    <mergeCell ref="A1:I1"/>
    <mergeCell ref="A226:I226"/>
    <mergeCell ref="A227:I227"/>
    <mergeCell ref="A228:I228"/>
    <mergeCell ref="A230:I230"/>
  </mergeCells>
  <conditionalFormatting sqref="U230">
    <cfRule type="cellIs" dxfId="0" priority="1" operator="lessThan">
      <formula>0</formula>
    </cfRule>
  </conditionalFormatting>
  <conditionalFormatting sqref="AE230">
    <cfRule type="cellIs" dxfId="0" priority="2" operator="lessThan">
      <formula>0</formula>
    </cfRule>
  </conditionalFormatting>
  <conditionalFormatting sqref="A230:T230 AF230:AM230 V230:AD230">
    <cfRule type="cellIs" dxfId="0" priority="3" operator="lessThan">
      <formula>0</formula>
    </cfRule>
  </conditionalFormatting>
  <pageMargins left="0.699305555555556" right="0.699305555555556" top="0.75" bottom="0.75" header="0.3" footer="0.3"/>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87"/>
  <sheetViews>
    <sheetView workbookViewId="0">
      <pane xSplit="8" ySplit="2" topLeftCell="K55" activePane="bottomRight" state="frozen"/>
      <selection/>
      <selection pane="topRight"/>
      <selection pane="bottomLeft"/>
      <selection pane="bottomRight" activeCell="K70" sqref="K70"/>
    </sheetView>
  </sheetViews>
  <sheetFormatPr defaultColWidth="9" defaultRowHeight="13.5"/>
  <cols>
    <col min="1" max="2" width="9" style="736"/>
    <col min="3" max="3" width="10.3333333333333" style="736"/>
    <col min="4" max="4" width="11.9583333333333" style="736" customWidth="1"/>
    <col min="5" max="5" width="17.025" style="736" customWidth="1"/>
    <col min="6" max="6" width="9" style="736"/>
    <col min="7" max="7" width="12.5833333333333" style="736" customWidth="1"/>
    <col min="8" max="8" width="9" style="736"/>
    <col min="9" max="9" width="12.5833333333333" style="736" customWidth="1"/>
    <col min="10" max="10" width="9" style="736"/>
    <col min="11" max="11" width="9.225" style="736"/>
    <col min="12" max="13" width="10.1083333333333" style="736" customWidth="1"/>
    <col min="14" max="14" width="12.8" style="736"/>
    <col min="15" max="15" width="9" style="736"/>
    <col min="16" max="22" width="9.225" style="736"/>
    <col min="23" max="33" width="9" style="736"/>
    <col min="34" max="34" width="51.375" style="736" customWidth="1"/>
    <col min="35" max="16384" width="9" style="736"/>
  </cols>
  <sheetData>
    <row r="1" s="736" customFormat="1" ht="34" customHeight="1" spans="1:34">
      <c r="A1" s="739" t="s">
        <v>2602</v>
      </c>
      <c r="B1" s="739"/>
      <c r="C1" s="739"/>
      <c r="D1" s="739"/>
      <c r="E1" s="739"/>
      <c r="F1" s="739"/>
      <c r="G1" s="739"/>
      <c r="H1" s="739"/>
      <c r="I1" s="739"/>
      <c r="J1" s="745"/>
      <c r="K1" s="745"/>
      <c r="L1" s="745"/>
      <c r="M1" s="745"/>
      <c r="N1" s="745"/>
      <c r="O1" s="745"/>
      <c r="P1" s="746"/>
      <c r="Q1" s="746"/>
      <c r="R1" s="746"/>
      <c r="S1" s="746"/>
      <c r="T1" s="746"/>
      <c r="U1" s="746"/>
      <c r="V1" s="746"/>
      <c r="W1" s="746"/>
      <c r="X1" s="746"/>
      <c r="Y1" s="746"/>
      <c r="Z1" s="746"/>
      <c r="AA1" s="746"/>
      <c r="AB1" s="745"/>
      <c r="AC1" s="745"/>
      <c r="AD1" s="745"/>
      <c r="AE1" s="745"/>
      <c r="AF1" s="745"/>
      <c r="AG1" s="745"/>
      <c r="AH1" s="745"/>
    </row>
    <row r="2" s="736" customFormat="1" ht="39" customHeight="1" spans="1:34">
      <c r="A2" s="740" t="s">
        <v>2307</v>
      </c>
      <c r="B2" s="740" t="s">
        <v>2309</v>
      </c>
      <c r="C2" s="740" t="s">
        <v>2308</v>
      </c>
      <c r="D2" s="740" t="s">
        <v>2346</v>
      </c>
      <c r="E2" s="740" t="s">
        <v>2310</v>
      </c>
      <c r="F2" s="740" t="s">
        <v>2311</v>
      </c>
      <c r="G2" s="740" t="s">
        <v>2312</v>
      </c>
      <c r="H2" s="740" t="s">
        <v>2348</v>
      </c>
      <c r="I2" s="740" t="s">
        <v>2347</v>
      </c>
      <c r="J2" s="747" t="s">
        <v>2603</v>
      </c>
      <c r="K2" s="748" t="s">
        <v>105</v>
      </c>
      <c r="L2" s="747" t="s">
        <v>2604</v>
      </c>
      <c r="M2" s="747" t="s">
        <v>2605</v>
      </c>
      <c r="N2" s="747" t="s">
        <v>2606</v>
      </c>
      <c r="O2" s="748" t="s">
        <v>2607</v>
      </c>
      <c r="P2" s="747" t="s">
        <v>2608</v>
      </c>
      <c r="Q2" s="748" t="s">
        <v>2609</v>
      </c>
      <c r="R2" s="750" t="s">
        <v>2359</v>
      </c>
      <c r="S2" s="751" t="s">
        <v>2360</v>
      </c>
      <c r="T2" s="748" t="s">
        <v>2361</v>
      </c>
      <c r="U2" s="751" t="s">
        <v>2362</v>
      </c>
      <c r="V2" s="748" t="s">
        <v>2363</v>
      </c>
      <c r="W2" s="747" t="s">
        <v>121</v>
      </c>
      <c r="X2" s="752" t="s">
        <v>122</v>
      </c>
      <c r="Y2" s="748" t="s">
        <v>2610</v>
      </c>
      <c r="Z2" s="748" t="s">
        <v>2611</v>
      </c>
      <c r="AA2" s="748" t="s">
        <v>2612</v>
      </c>
      <c r="AB2" s="748" t="s">
        <v>2613</v>
      </c>
      <c r="AC2" s="753" t="s">
        <v>2366</v>
      </c>
      <c r="AD2" s="753" t="s">
        <v>2366</v>
      </c>
      <c r="AE2" s="754" t="s">
        <v>127</v>
      </c>
      <c r="AF2" s="754" t="s">
        <v>128</v>
      </c>
      <c r="AG2" s="754" t="s">
        <v>129</v>
      </c>
      <c r="AH2" s="755" t="s">
        <v>20</v>
      </c>
    </row>
    <row r="3" s="737" customFormat="1" ht="18" customHeight="1" spans="1:34">
      <c r="A3" s="741">
        <v>45854</v>
      </c>
      <c r="B3" s="742" t="s">
        <v>2614</v>
      </c>
      <c r="C3" s="743">
        <v>17011157</v>
      </c>
      <c r="D3" s="743" t="s">
        <v>2615</v>
      </c>
      <c r="E3" s="743">
        <v>77770</v>
      </c>
      <c r="F3" s="743">
        <v>150000</v>
      </c>
      <c r="G3" s="744" t="s">
        <v>2380</v>
      </c>
      <c r="H3" s="743" t="s">
        <v>2381</v>
      </c>
      <c r="I3" s="744" t="s">
        <v>2321</v>
      </c>
      <c r="J3" s="749">
        <v>150000</v>
      </c>
      <c r="K3" s="749"/>
      <c r="L3" s="749"/>
      <c r="M3" s="749"/>
      <c r="N3" s="749"/>
      <c r="O3" s="749"/>
      <c r="P3" s="749"/>
      <c r="Q3" s="749"/>
      <c r="R3" s="749"/>
      <c r="S3" s="749"/>
      <c r="T3" s="749"/>
      <c r="U3" s="749"/>
      <c r="V3" s="749"/>
      <c r="W3" s="749"/>
      <c r="X3" s="749"/>
      <c r="Y3" s="749"/>
      <c r="Z3" s="749"/>
      <c r="AA3" s="749"/>
      <c r="AB3" s="749"/>
      <c r="AC3" s="749"/>
      <c r="AD3" s="749"/>
      <c r="AE3" s="749"/>
      <c r="AF3" s="749"/>
      <c r="AG3" s="749"/>
      <c r="AH3" s="756"/>
    </row>
    <row r="4" s="737" customFormat="1" ht="18" customHeight="1" spans="1:34">
      <c r="A4" s="741">
        <v>45854</v>
      </c>
      <c r="B4" s="742" t="s">
        <v>2616</v>
      </c>
      <c r="C4" s="743">
        <v>17011158</v>
      </c>
      <c r="D4" s="743" t="s">
        <v>2615</v>
      </c>
      <c r="E4" s="743">
        <v>77770</v>
      </c>
      <c r="F4" s="743">
        <v>150000</v>
      </c>
      <c r="G4" s="744" t="s">
        <v>2383</v>
      </c>
      <c r="H4" s="743" t="s">
        <v>2384</v>
      </c>
      <c r="I4" s="744" t="s">
        <v>2321</v>
      </c>
      <c r="J4" s="749"/>
      <c r="K4" s="749"/>
      <c r="L4" s="749"/>
      <c r="M4" s="749">
        <v>150000</v>
      </c>
      <c r="N4" s="749"/>
      <c r="O4" s="749"/>
      <c r="P4" s="749"/>
      <c r="Q4" s="749"/>
      <c r="R4" s="749"/>
      <c r="S4" s="749"/>
      <c r="T4" s="749"/>
      <c r="U4" s="749"/>
      <c r="V4" s="749"/>
      <c r="W4" s="749"/>
      <c r="X4" s="749"/>
      <c r="Y4" s="749"/>
      <c r="Z4" s="749"/>
      <c r="AA4" s="749"/>
      <c r="AB4" s="749"/>
      <c r="AC4" s="749"/>
      <c r="AD4" s="749"/>
      <c r="AE4" s="749"/>
      <c r="AF4" s="749"/>
      <c r="AG4" s="749"/>
      <c r="AH4" s="756"/>
    </row>
    <row r="5" s="737" customFormat="1" ht="18" customHeight="1" spans="1:34">
      <c r="A5" s="741">
        <v>45855</v>
      </c>
      <c r="B5" s="742" t="s">
        <v>2617</v>
      </c>
      <c r="C5" s="743" t="s">
        <v>2618</v>
      </c>
      <c r="D5" s="743" t="s">
        <v>2615</v>
      </c>
      <c r="E5" s="743" t="s">
        <v>2619</v>
      </c>
      <c r="F5" s="743">
        <v>500</v>
      </c>
      <c r="G5" s="744" t="s">
        <v>2387</v>
      </c>
      <c r="H5" s="743" t="s">
        <v>2381</v>
      </c>
      <c r="I5" s="744" t="s">
        <v>2321</v>
      </c>
      <c r="J5" s="749"/>
      <c r="K5" s="749"/>
      <c r="L5" s="749"/>
      <c r="M5" s="749"/>
      <c r="N5" s="749">
        <f>F5</f>
        <v>500</v>
      </c>
      <c r="O5" s="749"/>
      <c r="P5" s="749"/>
      <c r="Q5" s="749"/>
      <c r="R5" s="749"/>
      <c r="S5" s="749"/>
      <c r="T5" s="749"/>
      <c r="U5" s="749"/>
      <c r="V5" s="749"/>
      <c r="W5" s="749"/>
      <c r="X5" s="749"/>
      <c r="Y5" s="749"/>
      <c r="Z5" s="749"/>
      <c r="AA5" s="749"/>
      <c r="AB5" s="749"/>
      <c r="AC5" s="749"/>
      <c r="AD5" s="749"/>
      <c r="AE5" s="749"/>
      <c r="AF5" s="749"/>
      <c r="AG5" s="749"/>
      <c r="AH5" s="756"/>
    </row>
    <row r="6" s="737" customFormat="1" ht="18" customHeight="1" spans="1:34">
      <c r="A6" s="741">
        <v>45870</v>
      </c>
      <c r="B6" s="742" t="s">
        <v>2620</v>
      </c>
      <c r="C6" s="743" t="s">
        <v>2618</v>
      </c>
      <c r="D6" s="743" t="s">
        <v>2615</v>
      </c>
      <c r="E6" s="743" t="s">
        <v>2621</v>
      </c>
      <c r="F6" s="743">
        <v>500</v>
      </c>
      <c r="G6" s="744" t="s">
        <v>2387</v>
      </c>
      <c r="H6" s="743" t="s">
        <v>2381</v>
      </c>
      <c r="I6" s="744" t="s">
        <v>2321</v>
      </c>
      <c r="J6" s="749"/>
      <c r="K6" s="749"/>
      <c r="L6" s="749"/>
      <c r="M6" s="749"/>
      <c r="N6" s="749"/>
      <c r="O6" s="749"/>
      <c r="P6" s="749">
        <f>F6</f>
        <v>500</v>
      </c>
      <c r="Q6" s="749"/>
      <c r="R6" s="749"/>
      <c r="S6" s="749"/>
      <c r="T6" s="749"/>
      <c r="U6" s="749"/>
      <c r="V6" s="749"/>
      <c r="W6" s="749"/>
      <c r="X6" s="749"/>
      <c r="Y6" s="749"/>
      <c r="Z6" s="749"/>
      <c r="AA6" s="749"/>
      <c r="AB6" s="749"/>
      <c r="AC6" s="749"/>
      <c r="AD6" s="749"/>
      <c r="AE6" s="749"/>
      <c r="AF6" s="749"/>
      <c r="AG6" s="749"/>
      <c r="AH6" s="756"/>
    </row>
    <row r="7" s="737" customFormat="1" ht="18" customHeight="1" spans="1:34">
      <c r="A7" s="741">
        <v>45870</v>
      </c>
      <c r="B7" s="742">
        <v>1000030668</v>
      </c>
      <c r="C7" s="743">
        <v>17011157</v>
      </c>
      <c r="D7" s="743" t="s">
        <v>2615</v>
      </c>
      <c r="E7" s="743" t="s">
        <v>2619</v>
      </c>
      <c r="F7" s="743">
        <v>500</v>
      </c>
      <c r="G7" s="744" t="s">
        <v>2387</v>
      </c>
      <c r="H7" s="743" t="s">
        <v>2381</v>
      </c>
      <c r="I7" s="744" t="s">
        <v>2321</v>
      </c>
      <c r="J7" s="743"/>
      <c r="K7" s="749"/>
      <c r="L7" s="749"/>
      <c r="M7" s="749"/>
      <c r="N7" s="743">
        <v>500</v>
      </c>
      <c r="O7" s="749"/>
      <c r="P7" s="749"/>
      <c r="Q7" s="749"/>
      <c r="R7" s="749"/>
      <c r="S7" s="749"/>
      <c r="T7" s="749"/>
      <c r="U7" s="749"/>
      <c r="V7" s="749"/>
      <c r="W7" s="749"/>
      <c r="X7" s="749"/>
      <c r="Y7" s="749"/>
      <c r="Z7" s="749"/>
      <c r="AA7" s="749"/>
      <c r="AB7" s="749"/>
      <c r="AC7" s="749"/>
      <c r="AD7" s="749"/>
      <c r="AE7" s="749"/>
      <c r="AF7" s="749"/>
      <c r="AG7" s="749"/>
      <c r="AH7" s="756"/>
    </row>
    <row r="8" s="737" customFormat="1" ht="22.5" spans="1:34">
      <c r="A8" s="741">
        <v>45891</v>
      </c>
      <c r="B8" s="742" t="s">
        <v>2622</v>
      </c>
      <c r="C8" s="743">
        <v>17011414</v>
      </c>
      <c r="D8" s="743" t="s">
        <v>2623</v>
      </c>
      <c r="E8" s="743" t="s">
        <v>2624</v>
      </c>
      <c r="F8" s="743">
        <v>500</v>
      </c>
      <c r="G8" s="744" t="s">
        <v>2387</v>
      </c>
      <c r="H8" s="743" t="s">
        <v>2381</v>
      </c>
      <c r="I8" s="744" t="s">
        <v>2321</v>
      </c>
      <c r="J8" s="749"/>
      <c r="K8" s="749"/>
      <c r="L8" s="749"/>
      <c r="M8" s="749"/>
      <c r="N8" s="749"/>
      <c r="O8" s="749"/>
      <c r="P8" s="749"/>
      <c r="Q8" s="749"/>
      <c r="R8" s="749">
        <v>500</v>
      </c>
      <c r="S8" s="749"/>
      <c r="T8" s="749"/>
      <c r="U8" s="749"/>
      <c r="V8" s="749"/>
      <c r="W8" s="749"/>
      <c r="X8" s="749"/>
      <c r="Y8" s="749"/>
      <c r="Z8" s="749"/>
      <c r="AA8" s="749"/>
      <c r="AB8" s="749"/>
      <c r="AC8" s="749"/>
      <c r="AD8" s="749"/>
      <c r="AE8" s="749"/>
      <c r="AF8" s="749"/>
      <c r="AG8" s="749"/>
      <c r="AH8" s="757" t="s">
        <v>2625</v>
      </c>
    </row>
    <row r="9" s="737" customFormat="1" ht="22.5" spans="1:34">
      <c r="A9" s="741">
        <v>45891</v>
      </c>
      <c r="B9" s="742" t="s">
        <v>2626</v>
      </c>
      <c r="C9" s="743">
        <v>17011414</v>
      </c>
      <c r="D9" s="743" t="s">
        <v>2623</v>
      </c>
      <c r="E9" s="743" t="s">
        <v>2624</v>
      </c>
      <c r="F9" s="743">
        <v>6518</v>
      </c>
      <c r="G9" s="744" t="s">
        <v>2387</v>
      </c>
      <c r="H9" s="743" t="s">
        <v>2381</v>
      </c>
      <c r="I9" s="744" t="s">
        <v>2321</v>
      </c>
      <c r="J9" s="749"/>
      <c r="K9" s="749"/>
      <c r="L9" s="749"/>
      <c r="M9" s="749"/>
      <c r="N9" s="749"/>
      <c r="O9" s="749"/>
      <c r="P9" s="749"/>
      <c r="Q9" s="749"/>
      <c r="R9" s="749">
        <f>F9</f>
        <v>6518</v>
      </c>
      <c r="S9" s="749"/>
      <c r="T9" s="749"/>
      <c r="U9" s="749"/>
      <c r="V9" s="749"/>
      <c r="W9" s="749"/>
      <c r="X9" s="749"/>
      <c r="Y9" s="749"/>
      <c r="Z9" s="749"/>
      <c r="AA9" s="749"/>
      <c r="AB9" s="749"/>
      <c r="AC9" s="749"/>
      <c r="AD9" s="749"/>
      <c r="AE9" s="749"/>
      <c r="AF9" s="749"/>
      <c r="AG9" s="749"/>
      <c r="AH9" s="757" t="s">
        <v>2627</v>
      </c>
    </row>
    <row r="10" s="737" customFormat="1" ht="18" customHeight="1" spans="1:34">
      <c r="A10" s="741"/>
      <c r="B10" s="742"/>
      <c r="C10" s="743" t="s">
        <v>2601</v>
      </c>
      <c r="D10" s="743"/>
      <c r="E10" s="743">
        <v>77486</v>
      </c>
      <c r="F10" s="743"/>
      <c r="G10" s="744"/>
      <c r="H10" s="743"/>
      <c r="I10" s="744"/>
      <c r="J10" s="749"/>
      <c r="K10" s="749"/>
      <c r="L10" s="749"/>
      <c r="M10" s="749"/>
      <c r="N10" s="749"/>
      <c r="O10" s="749"/>
      <c r="P10" s="749"/>
      <c r="Q10" s="749"/>
      <c r="R10" s="749"/>
      <c r="S10" s="749"/>
      <c r="T10" s="749"/>
      <c r="U10" s="749"/>
      <c r="V10" s="749"/>
      <c r="W10" s="749"/>
      <c r="X10" s="749"/>
      <c r="Y10" s="749"/>
      <c r="Z10" s="749"/>
      <c r="AA10" s="749"/>
      <c r="AB10" s="749"/>
      <c r="AC10" s="749"/>
      <c r="AD10" s="749"/>
      <c r="AE10" s="749"/>
      <c r="AF10" s="749"/>
      <c r="AG10" s="749"/>
      <c r="AH10" s="756"/>
    </row>
    <row r="11" s="737" customFormat="1" spans="1:34">
      <c r="A11" s="741">
        <v>45903</v>
      </c>
      <c r="B11" s="742">
        <v>1000031804</v>
      </c>
      <c r="C11" s="743">
        <v>17011157</v>
      </c>
      <c r="D11" s="743" t="s">
        <v>2615</v>
      </c>
      <c r="E11" s="743">
        <v>77770</v>
      </c>
      <c r="F11" s="743">
        <v>200000</v>
      </c>
      <c r="G11" s="744" t="s">
        <v>2380</v>
      </c>
      <c r="H11" s="743" t="s">
        <v>2381</v>
      </c>
      <c r="I11" s="744" t="s">
        <v>2321</v>
      </c>
      <c r="J11" s="743">
        <v>200000</v>
      </c>
      <c r="K11" s="749"/>
      <c r="L11" s="749"/>
      <c r="M11" s="749"/>
      <c r="N11" s="749"/>
      <c r="O11" s="749"/>
      <c r="P11" s="749"/>
      <c r="Q11" s="749"/>
      <c r="R11" s="749"/>
      <c r="S11" s="749"/>
      <c r="T11" s="749"/>
      <c r="U11" s="749"/>
      <c r="V11" s="749"/>
      <c r="W11" s="749"/>
      <c r="X11" s="749"/>
      <c r="Y11" s="749"/>
      <c r="Z11" s="749"/>
      <c r="AA11" s="749"/>
      <c r="AB11" s="749"/>
      <c r="AC11" s="749"/>
      <c r="AD11" s="749"/>
      <c r="AE11" s="749"/>
      <c r="AF11" s="749"/>
      <c r="AG11" s="749"/>
      <c r="AH11" s="757"/>
    </row>
    <row r="12" s="737" customFormat="1" spans="1:34">
      <c r="A12" s="741">
        <v>45903</v>
      </c>
      <c r="B12" s="742">
        <v>1000031805</v>
      </c>
      <c r="C12" s="743">
        <v>17011190</v>
      </c>
      <c r="D12" s="743" t="s">
        <v>2615</v>
      </c>
      <c r="E12" s="743">
        <v>77770</v>
      </c>
      <c r="F12" s="743">
        <v>20000</v>
      </c>
      <c r="G12" s="744" t="s">
        <v>2380</v>
      </c>
      <c r="H12" s="743" t="s">
        <v>2393</v>
      </c>
      <c r="I12" s="744" t="s">
        <v>2321</v>
      </c>
      <c r="J12" s="749"/>
      <c r="K12" s="743">
        <v>20000</v>
      </c>
      <c r="L12" s="749"/>
      <c r="M12" s="749"/>
      <c r="N12" s="749"/>
      <c r="O12" s="749"/>
      <c r="P12" s="749"/>
      <c r="Q12" s="749"/>
      <c r="R12" s="749"/>
      <c r="S12" s="749"/>
      <c r="T12" s="749"/>
      <c r="U12" s="749"/>
      <c r="V12" s="749"/>
      <c r="W12" s="749"/>
      <c r="X12" s="749"/>
      <c r="Y12" s="749"/>
      <c r="Z12" s="749"/>
      <c r="AA12" s="749"/>
      <c r="AB12" s="749"/>
      <c r="AC12" s="749"/>
      <c r="AD12" s="749"/>
      <c r="AE12" s="749"/>
      <c r="AF12" s="749"/>
      <c r="AG12" s="749"/>
      <c r="AH12" s="757"/>
    </row>
    <row r="13" s="737" customFormat="1" spans="1:34">
      <c r="A13" s="741">
        <v>45903</v>
      </c>
      <c r="B13" s="742">
        <v>1000031806</v>
      </c>
      <c r="C13" s="743">
        <v>17011158</v>
      </c>
      <c r="D13" s="743" t="s">
        <v>2615</v>
      </c>
      <c r="E13" s="743">
        <v>77770</v>
      </c>
      <c r="F13" s="743">
        <v>200000</v>
      </c>
      <c r="G13" s="744" t="s">
        <v>2383</v>
      </c>
      <c r="H13" s="743" t="s">
        <v>2384</v>
      </c>
      <c r="I13" s="744" t="s">
        <v>2321</v>
      </c>
      <c r="J13" s="749"/>
      <c r="K13" s="749"/>
      <c r="L13" s="743"/>
      <c r="M13" s="743">
        <v>200000</v>
      </c>
      <c r="N13" s="749"/>
      <c r="O13" s="749"/>
      <c r="P13" s="749"/>
      <c r="Q13" s="749"/>
      <c r="R13" s="749"/>
      <c r="S13" s="749"/>
      <c r="T13" s="749"/>
      <c r="U13" s="749"/>
      <c r="V13" s="749"/>
      <c r="W13" s="749"/>
      <c r="X13" s="749"/>
      <c r="Y13" s="749"/>
      <c r="Z13" s="749"/>
      <c r="AA13" s="749"/>
      <c r="AB13" s="749"/>
      <c r="AC13" s="749"/>
      <c r="AD13" s="749"/>
      <c r="AE13" s="749"/>
      <c r="AF13" s="749"/>
      <c r="AG13" s="749"/>
      <c r="AH13" s="757"/>
    </row>
    <row r="14" s="737" customFormat="1" spans="1:34">
      <c r="A14" s="741">
        <v>45903</v>
      </c>
      <c r="B14" s="742">
        <v>1000031807</v>
      </c>
      <c r="C14" s="743" t="s">
        <v>2618</v>
      </c>
      <c r="D14" s="743" t="s">
        <v>2615</v>
      </c>
      <c r="E14" s="743" t="s">
        <v>2619</v>
      </c>
      <c r="F14" s="743">
        <v>1000</v>
      </c>
      <c r="G14" s="744" t="s">
        <v>2387</v>
      </c>
      <c r="H14" s="743" t="s">
        <v>2381</v>
      </c>
      <c r="I14" s="744" t="s">
        <v>2321</v>
      </c>
      <c r="J14" s="749"/>
      <c r="K14" s="749"/>
      <c r="L14" s="749"/>
      <c r="M14" s="749"/>
      <c r="N14" s="743">
        <v>1000</v>
      </c>
      <c r="O14" s="749"/>
      <c r="P14" s="749"/>
      <c r="Q14" s="749"/>
      <c r="R14" s="749"/>
      <c r="S14" s="749"/>
      <c r="T14" s="749"/>
      <c r="U14" s="749"/>
      <c r="V14" s="749"/>
      <c r="W14" s="749"/>
      <c r="X14" s="749"/>
      <c r="Y14" s="749"/>
      <c r="Z14" s="749"/>
      <c r="AA14" s="749"/>
      <c r="AB14" s="749"/>
      <c r="AC14" s="749"/>
      <c r="AD14" s="749"/>
      <c r="AE14" s="749"/>
      <c r="AF14" s="749"/>
      <c r="AG14" s="749"/>
      <c r="AH14" s="757"/>
    </row>
    <row r="15" s="737" customFormat="1" spans="1:34">
      <c r="A15" s="741">
        <v>45903</v>
      </c>
      <c r="B15" s="742">
        <v>1000031808</v>
      </c>
      <c r="C15" s="743">
        <v>17011591</v>
      </c>
      <c r="D15" s="743" t="s">
        <v>2615</v>
      </c>
      <c r="E15" s="743" t="s">
        <v>2619</v>
      </c>
      <c r="F15" s="743">
        <v>500</v>
      </c>
      <c r="G15" s="744" t="s">
        <v>2387</v>
      </c>
      <c r="H15" s="743" t="s">
        <v>2393</v>
      </c>
      <c r="I15" s="744" t="s">
        <v>2321</v>
      </c>
      <c r="J15" s="749"/>
      <c r="K15" s="749"/>
      <c r="L15" s="749"/>
      <c r="M15" s="749"/>
      <c r="N15" s="749"/>
      <c r="O15" s="743">
        <v>500</v>
      </c>
      <c r="P15" s="749"/>
      <c r="Q15" s="749"/>
      <c r="R15" s="749"/>
      <c r="S15" s="749"/>
      <c r="T15" s="749"/>
      <c r="U15" s="749"/>
      <c r="V15" s="749"/>
      <c r="W15" s="749"/>
      <c r="X15" s="749"/>
      <c r="Y15" s="749"/>
      <c r="Z15" s="749"/>
      <c r="AA15" s="749"/>
      <c r="AB15" s="749"/>
      <c r="AC15" s="749"/>
      <c r="AD15" s="749"/>
      <c r="AE15" s="749"/>
      <c r="AF15" s="749"/>
      <c r="AG15" s="749"/>
      <c r="AH15" s="757"/>
    </row>
    <row r="16" s="737" customFormat="1" spans="1:34">
      <c r="A16" s="741">
        <v>45903</v>
      </c>
      <c r="B16" s="742">
        <v>1000031809</v>
      </c>
      <c r="C16" s="743" t="s">
        <v>2628</v>
      </c>
      <c r="D16" s="743" t="s">
        <v>2615</v>
      </c>
      <c r="E16" s="743" t="s">
        <v>2621</v>
      </c>
      <c r="F16" s="743">
        <v>3000</v>
      </c>
      <c r="G16" s="744" t="s">
        <v>2387</v>
      </c>
      <c r="H16" s="743" t="s">
        <v>2381</v>
      </c>
      <c r="I16" s="744" t="s">
        <v>2321</v>
      </c>
      <c r="J16" s="749"/>
      <c r="K16" s="749"/>
      <c r="L16" s="749"/>
      <c r="M16" s="749"/>
      <c r="N16" s="749"/>
      <c r="O16" s="749"/>
      <c r="P16" s="743">
        <v>3000</v>
      </c>
      <c r="Q16" s="749"/>
      <c r="R16" s="749"/>
      <c r="S16" s="749"/>
      <c r="T16" s="749"/>
      <c r="U16" s="749"/>
      <c r="V16" s="749"/>
      <c r="W16" s="749"/>
      <c r="X16" s="749"/>
      <c r="Y16" s="749"/>
      <c r="Z16" s="749"/>
      <c r="AA16" s="749"/>
      <c r="AB16" s="749"/>
      <c r="AC16" s="749"/>
      <c r="AD16" s="749"/>
      <c r="AE16" s="749"/>
      <c r="AF16" s="749"/>
      <c r="AG16" s="749"/>
      <c r="AH16" s="757"/>
    </row>
    <row r="17" s="737" customFormat="1" spans="1:34">
      <c r="A17" s="741">
        <v>45912</v>
      </c>
      <c r="B17" s="742" t="s">
        <v>2629</v>
      </c>
      <c r="C17" s="743">
        <v>17011695</v>
      </c>
      <c r="D17" s="744" t="s">
        <v>2630</v>
      </c>
      <c r="E17" s="743">
        <v>77806</v>
      </c>
      <c r="F17" s="743">
        <v>10000</v>
      </c>
      <c r="G17" s="744" t="s">
        <v>2398</v>
      </c>
      <c r="H17" s="743"/>
      <c r="I17" s="744"/>
      <c r="J17" s="749"/>
      <c r="K17" s="749"/>
      <c r="L17" s="749"/>
      <c r="M17" s="749"/>
      <c r="N17" s="749"/>
      <c r="O17" s="749"/>
      <c r="P17" s="743"/>
      <c r="Q17" s="749"/>
      <c r="R17" s="749"/>
      <c r="S17" s="749"/>
      <c r="T17" s="749"/>
      <c r="U17" s="749"/>
      <c r="V17" s="749"/>
      <c r="W17" s="749"/>
      <c r="X17" s="749"/>
      <c r="Y17" s="749"/>
      <c r="Z17" s="749"/>
      <c r="AA17" s="749"/>
      <c r="AB17" s="749"/>
      <c r="AC17" s="749"/>
      <c r="AD17" s="749"/>
      <c r="AE17" s="743">
        <v>10000</v>
      </c>
      <c r="AF17" s="749"/>
      <c r="AG17" s="749"/>
      <c r="AH17" s="757" t="s">
        <v>2631</v>
      </c>
    </row>
    <row r="18" s="737" customFormat="1" spans="1:34">
      <c r="A18" s="741">
        <v>45912</v>
      </c>
      <c r="B18" s="742" t="s">
        <v>2632</v>
      </c>
      <c r="C18" s="743">
        <v>17011696</v>
      </c>
      <c r="D18" s="744" t="s">
        <v>2630</v>
      </c>
      <c r="E18" s="743">
        <v>77806</v>
      </c>
      <c r="F18" s="743">
        <v>5000</v>
      </c>
      <c r="G18" s="744" t="s">
        <v>2633</v>
      </c>
      <c r="H18" s="743"/>
      <c r="I18" s="744"/>
      <c r="J18" s="749"/>
      <c r="K18" s="749"/>
      <c r="L18" s="749"/>
      <c r="M18" s="749"/>
      <c r="N18" s="749"/>
      <c r="O18" s="749"/>
      <c r="P18" s="743"/>
      <c r="Q18" s="749"/>
      <c r="R18" s="749"/>
      <c r="S18" s="749"/>
      <c r="T18" s="749"/>
      <c r="U18" s="749"/>
      <c r="V18" s="749"/>
      <c r="W18" s="749"/>
      <c r="X18" s="749"/>
      <c r="Y18" s="749"/>
      <c r="Z18" s="749"/>
      <c r="AA18" s="749"/>
      <c r="AB18" s="749"/>
      <c r="AC18" s="749"/>
      <c r="AD18" s="749"/>
      <c r="AE18" s="749"/>
      <c r="AF18" s="743">
        <v>5000</v>
      </c>
      <c r="AG18" s="749"/>
      <c r="AH18" s="757" t="s">
        <v>2631</v>
      </c>
    </row>
    <row r="19" s="737" customFormat="1" spans="1:34">
      <c r="A19" s="741">
        <v>45912</v>
      </c>
      <c r="B19" s="742" t="s">
        <v>2634</v>
      </c>
      <c r="C19" s="743">
        <v>17011697</v>
      </c>
      <c r="D19" s="744" t="s">
        <v>2630</v>
      </c>
      <c r="E19" s="743">
        <v>77806</v>
      </c>
      <c r="F19" s="743">
        <v>5000</v>
      </c>
      <c r="G19" s="744" t="s">
        <v>2399</v>
      </c>
      <c r="H19" s="743" t="s">
        <v>2393</v>
      </c>
      <c r="I19" s="744"/>
      <c r="J19" s="749"/>
      <c r="K19" s="749"/>
      <c r="L19" s="749"/>
      <c r="M19" s="749"/>
      <c r="N19" s="749"/>
      <c r="O19" s="749"/>
      <c r="P19" s="743"/>
      <c r="Q19" s="749"/>
      <c r="R19" s="749"/>
      <c r="S19" s="749"/>
      <c r="T19" s="749"/>
      <c r="U19" s="749"/>
      <c r="V19" s="749"/>
      <c r="W19" s="749"/>
      <c r="X19" s="749"/>
      <c r="Y19" s="749"/>
      <c r="Z19" s="749"/>
      <c r="AA19" s="749"/>
      <c r="AB19" s="749"/>
      <c r="AC19" s="749"/>
      <c r="AD19" s="749"/>
      <c r="AE19" s="749"/>
      <c r="AF19" s="749"/>
      <c r="AG19" s="743">
        <v>5000</v>
      </c>
      <c r="AH19" s="757" t="s">
        <v>2631</v>
      </c>
    </row>
    <row r="20" s="737" customFormat="1" spans="1:34">
      <c r="A20" s="741">
        <v>45922</v>
      </c>
      <c r="B20" s="742">
        <v>1000032261</v>
      </c>
      <c r="C20" s="743">
        <v>17011157</v>
      </c>
      <c r="D20" s="744" t="s">
        <v>2615</v>
      </c>
      <c r="E20" s="743">
        <v>77770</v>
      </c>
      <c r="F20" s="743">
        <v>200000</v>
      </c>
      <c r="G20" s="744" t="s">
        <v>2380</v>
      </c>
      <c r="H20" s="743" t="s">
        <v>2381</v>
      </c>
      <c r="I20" s="744" t="s">
        <v>2321</v>
      </c>
      <c r="J20" s="749">
        <v>200000</v>
      </c>
      <c r="K20" s="749"/>
      <c r="L20" s="749"/>
      <c r="M20" s="749"/>
      <c r="N20" s="749"/>
      <c r="O20" s="749"/>
      <c r="P20" s="743"/>
      <c r="Q20" s="749"/>
      <c r="R20" s="749"/>
      <c r="S20" s="749"/>
      <c r="T20" s="749"/>
      <c r="U20" s="749"/>
      <c r="V20" s="749"/>
      <c r="W20" s="749"/>
      <c r="X20" s="749"/>
      <c r="Y20" s="749"/>
      <c r="Z20" s="749"/>
      <c r="AA20" s="749"/>
      <c r="AB20" s="749"/>
      <c r="AC20" s="749"/>
      <c r="AD20" s="749"/>
      <c r="AE20" s="749"/>
      <c r="AF20" s="749"/>
      <c r="AG20" s="743"/>
      <c r="AH20" s="757"/>
    </row>
    <row r="21" s="737" customFormat="1" spans="1:34">
      <c r="A21" s="741">
        <v>45922</v>
      </c>
      <c r="B21" s="742">
        <v>1000032262</v>
      </c>
      <c r="C21" s="743">
        <v>17011158</v>
      </c>
      <c r="D21" s="744" t="s">
        <v>2615</v>
      </c>
      <c r="E21" s="743">
        <v>77770</v>
      </c>
      <c r="F21" s="743">
        <v>200000</v>
      </c>
      <c r="G21" s="744" t="s">
        <v>2383</v>
      </c>
      <c r="H21" s="743" t="s">
        <v>2384</v>
      </c>
      <c r="I21" s="744" t="s">
        <v>2321</v>
      </c>
      <c r="J21" s="749"/>
      <c r="K21" s="749"/>
      <c r="L21" s="749"/>
      <c r="M21" s="749">
        <v>200000</v>
      </c>
      <c r="N21" s="749"/>
      <c r="O21" s="749"/>
      <c r="P21" s="743"/>
      <c r="Q21" s="749"/>
      <c r="R21" s="749"/>
      <c r="S21" s="749"/>
      <c r="T21" s="749"/>
      <c r="U21" s="749"/>
      <c r="V21" s="749"/>
      <c r="W21" s="749"/>
      <c r="X21" s="749"/>
      <c r="Y21" s="749"/>
      <c r="Z21" s="749"/>
      <c r="AA21" s="749"/>
      <c r="AB21" s="749"/>
      <c r="AC21" s="749"/>
      <c r="AD21" s="749"/>
      <c r="AE21" s="749"/>
      <c r="AF21" s="749"/>
      <c r="AG21" s="743"/>
      <c r="AH21" s="757"/>
    </row>
    <row r="22" s="737" customFormat="1" spans="1:34">
      <c r="A22" s="741">
        <v>45922</v>
      </c>
      <c r="B22" s="742">
        <v>1000032263</v>
      </c>
      <c r="C22" s="743" t="s">
        <v>2618</v>
      </c>
      <c r="D22" s="744" t="s">
        <v>2615</v>
      </c>
      <c r="E22" s="743" t="s">
        <v>2619</v>
      </c>
      <c r="F22" s="743">
        <v>1100</v>
      </c>
      <c r="G22" s="744" t="s">
        <v>2387</v>
      </c>
      <c r="H22" s="743" t="s">
        <v>2381</v>
      </c>
      <c r="I22" s="744" t="s">
        <v>2321</v>
      </c>
      <c r="J22" s="749"/>
      <c r="K22" s="749"/>
      <c r="L22" s="749"/>
      <c r="M22" s="749"/>
      <c r="N22" s="749">
        <v>1100</v>
      </c>
      <c r="O22" s="749"/>
      <c r="P22" s="743"/>
      <c r="Q22" s="749"/>
      <c r="R22" s="749"/>
      <c r="S22" s="749"/>
      <c r="T22" s="749"/>
      <c r="U22" s="749"/>
      <c r="V22" s="749"/>
      <c r="W22" s="749"/>
      <c r="X22" s="749"/>
      <c r="Y22" s="749"/>
      <c r="Z22" s="749"/>
      <c r="AA22" s="749"/>
      <c r="AB22" s="749"/>
      <c r="AC22" s="749"/>
      <c r="AD22" s="749"/>
      <c r="AE22" s="749"/>
      <c r="AF22" s="749"/>
      <c r="AG22" s="743"/>
      <c r="AH22" s="757"/>
    </row>
    <row r="23" s="737" customFormat="1" ht="14" customHeight="1" spans="1:34">
      <c r="A23" s="741">
        <v>45922</v>
      </c>
      <c r="B23" s="742" t="s">
        <v>2635</v>
      </c>
      <c r="C23" s="743" t="s">
        <v>2628</v>
      </c>
      <c r="D23" s="744" t="s">
        <v>2615</v>
      </c>
      <c r="E23" s="743" t="s">
        <v>2621</v>
      </c>
      <c r="F23" s="743">
        <v>7200</v>
      </c>
      <c r="G23" s="744" t="s">
        <v>2387</v>
      </c>
      <c r="H23" s="743" t="s">
        <v>2381</v>
      </c>
      <c r="I23" s="744" t="s">
        <v>2321</v>
      </c>
      <c r="J23" s="749"/>
      <c r="K23" s="749"/>
      <c r="L23" s="749"/>
      <c r="M23" s="749"/>
      <c r="N23" s="749"/>
      <c r="O23" s="749"/>
      <c r="P23" s="743">
        <v>7200</v>
      </c>
      <c r="Q23" s="749"/>
      <c r="R23" s="749"/>
      <c r="S23" s="749"/>
      <c r="T23" s="749"/>
      <c r="U23" s="749"/>
      <c r="V23" s="749"/>
      <c r="W23" s="749"/>
      <c r="X23" s="749"/>
      <c r="Y23" s="749"/>
      <c r="Z23" s="749"/>
      <c r="AA23" s="749"/>
      <c r="AB23" s="749"/>
      <c r="AC23" s="749"/>
      <c r="AD23" s="749"/>
      <c r="AE23" s="749"/>
      <c r="AF23" s="749"/>
      <c r="AG23" s="743"/>
      <c r="AH23" s="757"/>
    </row>
    <row r="24" s="737" customFormat="1" spans="1:34">
      <c r="A24" s="741">
        <v>45922</v>
      </c>
      <c r="B24" s="742" t="s">
        <v>2636</v>
      </c>
      <c r="C24" s="743" t="s">
        <v>2637</v>
      </c>
      <c r="D24" s="744" t="s">
        <v>2615</v>
      </c>
      <c r="E24" s="743" t="s">
        <v>2621</v>
      </c>
      <c r="F24" s="743">
        <v>500</v>
      </c>
      <c r="G24" s="744" t="s">
        <v>2387</v>
      </c>
      <c r="H24" s="743" t="s">
        <v>2393</v>
      </c>
      <c r="I24" s="744" t="s">
        <v>2321</v>
      </c>
      <c r="J24" s="749"/>
      <c r="K24" s="749"/>
      <c r="L24" s="749"/>
      <c r="M24" s="749"/>
      <c r="N24" s="749"/>
      <c r="O24" s="749"/>
      <c r="P24" s="743"/>
      <c r="Q24" s="743">
        <v>500</v>
      </c>
      <c r="R24" s="749"/>
      <c r="S24" s="749"/>
      <c r="T24" s="749"/>
      <c r="U24" s="749"/>
      <c r="V24" s="749"/>
      <c r="W24" s="749"/>
      <c r="X24" s="749"/>
      <c r="Y24" s="749"/>
      <c r="Z24" s="749"/>
      <c r="AA24" s="749"/>
      <c r="AB24" s="749"/>
      <c r="AC24" s="749"/>
      <c r="AD24" s="749"/>
      <c r="AE24" s="749"/>
      <c r="AF24" s="749"/>
      <c r="AG24" s="743"/>
      <c r="AH24" s="757"/>
    </row>
    <row r="25" s="737" customFormat="1" spans="1:34">
      <c r="A25" s="741">
        <v>45922</v>
      </c>
      <c r="B25" s="742">
        <v>1000032317</v>
      </c>
      <c r="C25" s="743">
        <v>17011158</v>
      </c>
      <c r="D25" s="744" t="s">
        <v>2615</v>
      </c>
      <c r="E25" s="743">
        <v>77770</v>
      </c>
      <c r="F25" s="743">
        <v>50000</v>
      </c>
      <c r="G25" s="744" t="s">
        <v>2383</v>
      </c>
      <c r="H25" s="743" t="s">
        <v>2384</v>
      </c>
      <c r="I25" s="744" t="s">
        <v>2321</v>
      </c>
      <c r="J25" s="749"/>
      <c r="K25" s="749"/>
      <c r="L25" s="743"/>
      <c r="M25" s="743">
        <v>50000</v>
      </c>
      <c r="N25" s="749"/>
      <c r="O25" s="749"/>
      <c r="P25" s="743"/>
      <c r="Q25" s="749"/>
      <c r="R25" s="749"/>
      <c r="S25" s="749"/>
      <c r="T25" s="749"/>
      <c r="U25" s="749"/>
      <c r="V25" s="749"/>
      <c r="W25" s="749"/>
      <c r="X25" s="749"/>
      <c r="Y25" s="749"/>
      <c r="Z25" s="749"/>
      <c r="AA25" s="749"/>
      <c r="AB25" s="749"/>
      <c r="AC25" s="749"/>
      <c r="AD25" s="749"/>
      <c r="AE25" s="749"/>
      <c r="AF25" s="749"/>
      <c r="AG25" s="743"/>
      <c r="AH25" s="757"/>
    </row>
    <row r="26" s="737" customFormat="1" ht="15" customHeight="1" spans="1:34">
      <c r="A26" s="741">
        <v>45922</v>
      </c>
      <c r="B26" s="742">
        <v>1000032318</v>
      </c>
      <c r="C26" s="744">
        <v>17011784</v>
      </c>
      <c r="D26" s="744" t="s">
        <v>2615</v>
      </c>
      <c r="E26" s="743" t="s">
        <v>2638</v>
      </c>
      <c r="F26" s="743">
        <v>729</v>
      </c>
      <c r="G26" s="744" t="s">
        <v>2639</v>
      </c>
      <c r="H26" s="743" t="s">
        <v>2381</v>
      </c>
      <c r="I26" s="744" t="s">
        <v>2321</v>
      </c>
      <c r="J26" s="749"/>
      <c r="K26" s="749"/>
      <c r="L26" s="749"/>
      <c r="M26" s="749"/>
      <c r="N26" s="749"/>
      <c r="O26" s="749"/>
      <c r="P26" s="743"/>
      <c r="Q26" s="749"/>
      <c r="R26" s="749"/>
      <c r="S26" s="749"/>
      <c r="T26" s="749"/>
      <c r="U26" s="749"/>
      <c r="V26" s="749"/>
      <c r="W26" s="749"/>
      <c r="X26" s="749"/>
      <c r="Y26" s="743">
        <v>729</v>
      </c>
      <c r="Z26" s="743">
        <v>729</v>
      </c>
      <c r="AA26" s="749"/>
      <c r="AB26" s="749"/>
      <c r="AC26" s="749"/>
      <c r="AD26" s="749"/>
      <c r="AE26" s="749"/>
      <c r="AF26" s="749"/>
      <c r="AG26" s="743"/>
      <c r="AH26" s="757"/>
    </row>
    <row r="27" s="737" customFormat="1" ht="15" customHeight="1" spans="1:34">
      <c r="A27" s="741">
        <v>45941</v>
      </c>
      <c r="B27" s="742" t="s">
        <v>2640</v>
      </c>
      <c r="C27" s="743">
        <v>17011902</v>
      </c>
      <c r="D27" s="744" t="s">
        <v>2615</v>
      </c>
      <c r="E27" s="743" t="s">
        <v>2638</v>
      </c>
      <c r="F27" s="743">
        <v>300</v>
      </c>
      <c r="G27" s="744" t="s">
        <v>2639</v>
      </c>
      <c r="H27" s="743" t="s">
        <v>2381</v>
      </c>
      <c r="I27" s="744" t="s">
        <v>2321</v>
      </c>
      <c r="J27" s="749"/>
      <c r="K27" s="749"/>
      <c r="L27" s="749"/>
      <c r="M27" s="749"/>
      <c r="N27" s="749"/>
      <c r="O27" s="749"/>
      <c r="P27" s="743"/>
      <c r="Q27" s="749"/>
      <c r="R27" s="749"/>
      <c r="S27" s="749"/>
      <c r="T27" s="749"/>
      <c r="U27" s="749"/>
      <c r="V27" s="749"/>
      <c r="W27" s="749"/>
      <c r="X27" s="749"/>
      <c r="Y27" s="743">
        <v>300</v>
      </c>
      <c r="Z27" s="749"/>
      <c r="AA27" s="749"/>
      <c r="AB27" s="749"/>
      <c r="AC27" s="749"/>
      <c r="AD27" s="749"/>
      <c r="AE27" s="749"/>
      <c r="AF27" s="749"/>
      <c r="AG27" s="743"/>
      <c r="AH27" s="757" t="s">
        <v>2641</v>
      </c>
    </row>
    <row r="28" s="737" customFormat="1" ht="15" customHeight="1" spans="1:34">
      <c r="A28" s="741">
        <v>45941</v>
      </c>
      <c r="B28" s="742" t="s">
        <v>2642</v>
      </c>
      <c r="C28" s="743">
        <v>17011903</v>
      </c>
      <c r="D28" s="744" t="s">
        <v>2615</v>
      </c>
      <c r="E28" s="743" t="s">
        <v>2638</v>
      </c>
      <c r="F28" s="743">
        <v>100</v>
      </c>
      <c r="G28" s="744" t="s">
        <v>2643</v>
      </c>
      <c r="H28" s="743" t="s">
        <v>2381</v>
      </c>
      <c r="I28" s="744" t="s">
        <v>2321</v>
      </c>
      <c r="J28" s="749"/>
      <c r="K28" s="749"/>
      <c r="L28" s="749"/>
      <c r="M28" s="749"/>
      <c r="N28" s="749"/>
      <c r="O28" s="749"/>
      <c r="P28" s="743"/>
      <c r="Q28" s="749"/>
      <c r="R28" s="749"/>
      <c r="S28" s="749"/>
      <c r="T28" s="749"/>
      <c r="U28" s="749"/>
      <c r="V28" s="749"/>
      <c r="W28" s="749"/>
      <c r="X28" s="749"/>
      <c r="Y28" s="743"/>
      <c r="Z28" s="749">
        <v>100</v>
      </c>
      <c r="AA28" s="749"/>
      <c r="AB28" s="749"/>
      <c r="AC28" s="749"/>
      <c r="AD28" s="749"/>
      <c r="AE28" s="749"/>
      <c r="AF28" s="749"/>
      <c r="AG28" s="743"/>
      <c r="AH28" s="758" t="s">
        <v>2644</v>
      </c>
    </row>
    <row r="29" s="737" customFormat="1" ht="15" customHeight="1" spans="1:34">
      <c r="A29" s="741">
        <v>45941</v>
      </c>
      <c r="B29" s="742" t="s">
        <v>2645</v>
      </c>
      <c r="C29" s="743">
        <v>17011157</v>
      </c>
      <c r="D29" s="744" t="s">
        <v>2615</v>
      </c>
      <c r="E29" s="743">
        <v>77770</v>
      </c>
      <c r="F29" s="743">
        <v>100000</v>
      </c>
      <c r="G29" s="744" t="s">
        <v>2380</v>
      </c>
      <c r="H29" s="743" t="s">
        <v>2381</v>
      </c>
      <c r="I29" s="744" t="s">
        <v>2321</v>
      </c>
      <c r="J29" s="743">
        <v>100000</v>
      </c>
      <c r="K29" s="749"/>
      <c r="L29" s="749"/>
      <c r="M29" s="749"/>
      <c r="N29" s="749"/>
      <c r="O29" s="749"/>
      <c r="P29" s="743"/>
      <c r="Q29" s="749"/>
      <c r="R29" s="749"/>
      <c r="S29" s="749"/>
      <c r="T29" s="749"/>
      <c r="U29" s="749"/>
      <c r="V29" s="749"/>
      <c r="W29" s="749"/>
      <c r="X29" s="749"/>
      <c r="Y29" s="743"/>
      <c r="Z29" s="749"/>
      <c r="AA29" s="749"/>
      <c r="AB29" s="749"/>
      <c r="AC29" s="749"/>
      <c r="AD29" s="749"/>
      <c r="AE29" s="749"/>
      <c r="AF29" s="749"/>
      <c r="AG29" s="743"/>
      <c r="AH29" s="757"/>
    </row>
    <row r="30" s="737" customFormat="1" ht="15" customHeight="1" spans="1:34">
      <c r="A30" s="741">
        <v>45941</v>
      </c>
      <c r="B30" s="742" t="s">
        <v>2646</v>
      </c>
      <c r="C30" s="743">
        <v>17011158</v>
      </c>
      <c r="D30" s="744" t="s">
        <v>2615</v>
      </c>
      <c r="E30" s="743">
        <v>77770</v>
      </c>
      <c r="F30" s="743">
        <v>100000</v>
      </c>
      <c r="G30" s="744" t="s">
        <v>2383</v>
      </c>
      <c r="H30" s="743" t="s">
        <v>2384</v>
      </c>
      <c r="I30" s="744" t="s">
        <v>2321</v>
      </c>
      <c r="J30" s="749"/>
      <c r="K30" s="749"/>
      <c r="L30" s="749"/>
      <c r="M30" s="749">
        <v>100000</v>
      </c>
      <c r="N30" s="749"/>
      <c r="O30" s="749"/>
      <c r="P30" s="743"/>
      <c r="Q30" s="749"/>
      <c r="R30" s="749"/>
      <c r="S30" s="749"/>
      <c r="T30" s="749"/>
      <c r="U30" s="749"/>
      <c r="V30" s="749"/>
      <c r="W30" s="749"/>
      <c r="X30" s="749"/>
      <c r="Y30" s="743"/>
      <c r="Z30" s="749"/>
      <c r="AA30" s="749"/>
      <c r="AB30" s="749"/>
      <c r="AC30" s="749"/>
      <c r="AD30" s="749"/>
      <c r="AE30" s="749"/>
      <c r="AF30" s="749"/>
      <c r="AG30" s="743"/>
      <c r="AH30" s="757"/>
    </row>
    <row r="31" s="737" customFormat="1" ht="15" customHeight="1" spans="1:34">
      <c r="A31" s="741">
        <v>45941</v>
      </c>
      <c r="B31" s="742" t="s">
        <v>2647</v>
      </c>
      <c r="C31" s="743" t="s">
        <v>2648</v>
      </c>
      <c r="D31" s="744" t="s">
        <v>2615</v>
      </c>
      <c r="E31" s="743">
        <v>77770</v>
      </c>
      <c r="F31" s="743">
        <v>20000</v>
      </c>
      <c r="G31" s="744" t="s">
        <v>2380</v>
      </c>
      <c r="H31" s="743" t="s">
        <v>2393</v>
      </c>
      <c r="I31" s="744" t="s">
        <v>2321</v>
      </c>
      <c r="J31" s="749"/>
      <c r="K31" s="749">
        <v>20000</v>
      </c>
      <c r="L31" s="749"/>
      <c r="M31" s="749"/>
      <c r="N31" s="749"/>
      <c r="O31" s="749"/>
      <c r="P31" s="743"/>
      <c r="Q31" s="749"/>
      <c r="R31" s="749"/>
      <c r="S31" s="749"/>
      <c r="T31" s="749"/>
      <c r="U31" s="749"/>
      <c r="V31" s="749"/>
      <c r="W31" s="749"/>
      <c r="X31" s="749"/>
      <c r="Y31" s="743"/>
      <c r="Z31" s="749"/>
      <c r="AA31" s="749"/>
      <c r="AB31" s="749"/>
      <c r="AC31" s="749"/>
      <c r="AD31" s="749"/>
      <c r="AE31" s="749"/>
      <c r="AF31" s="749"/>
      <c r="AG31" s="743"/>
      <c r="AH31" s="757"/>
    </row>
    <row r="32" s="737" customFormat="1" ht="15" customHeight="1" spans="1:34">
      <c r="A32" s="741">
        <v>45941</v>
      </c>
      <c r="B32" s="742" t="s">
        <v>2649</v>
      </c>
      <c r="C32" s="743" t="s">
        <v>2628</v>
      </c>
      <c r="D32" s="744" t="s">
        <v>2615</v>
      </c>
      <c r="E32" s="743" t="s">
        <v>2621</v>
      </c>
      <c r="F32" s="743">
        <v>1500</v>
      </c>
      <c r="G32" s="744" t="s">
        <v>2387</v>
      </c>
      <c r="H32" s="743" t="s">
        <v>2381</v>
      </c>
      <c r="I32" s="744" t="s">
        <v>2321</v>
      </c>
      <c r="J32" s="749"/>
      <c r="K32" s="749"/>
      <c r="L32" s="749"/>
      <c r="M32" s="749"/>
      <c r="N32" s="749"/>
      <c r="O32" s="749"/>
      <c r="P32" s="743">
        <v>1500</v>
      </c>
      <c r="Q32" s="749"/>
      <c r="R32" s="749"/>
      <c r="S32" s="749"/>
      <c r="T32" s="749"/>
      <c r="U32" s="749"/>
      <c r="V32" s="749"/>
      <c r="W32" s="749"/>
      <c r="X32" s="749"/>
      <c r="Y32" s="743"/>
      <c r="Z32" s="749"/>
      <c r="AA32" s="749"/>
      <c r="AB32" s="749"/>
      <c r="AC32" s="749"/>
      <c r="AD32" s="749"/>
      <c r="AE32" s="749"/>
      <c r="AF32" s="749"/>
      <c r="AG32" s="743"/>
      <c r="AH32" s="757"/>
    </row>
    <row r="33" s="737" customFormat="1" ht="15" customHeight="1" spans="1:34">
      <c r="A33" s="741">
        <v>45943</v>
      </c>
      <c r="B33" s="742" t="s">
        <v>2650</v>
      </c>
      <c r="C33" s="744">
        <v>17011695</v>
      </c>
      <c r="D33" s="744" t="s">
        <v>2582</v>
      </c>
      <c r="E33" s="743">
        <v>77806</v>
      </c>
      <c r="F33" s="743">
        <v>10000</v>
      </c>
      <c r="G33" s="744" t="s">
        <v>2398</v>
      </c>
      <c r="H33" s="743" t="s">
        <v>2587</v>
      </c>
      <c r="I33" s="744" t="s">
        <v>2587</v>
      </c>
      <c r="J33" s="749"/>
      <c r="K33" s="749"/>
      <c r="L33" s="749"/>
      <c r="M33" s="749"/>
      <c r="N33" s="749"/>
      <c r="O33" s="749"/>
      <c r="P33" s="743"/>
      <c r="Q33" s="749"/>
      <c r="R33" s="749"/>
      <c r="S33" s="749"/>
      <c r="T33" s="749"/>
      <c r="U33" s="749"/>
      <c r="V33" s="749"/>
      <c r="W33" s="749"/>
      <c r="X33" s="749"/>
      <c r="Y33" s="743"/>
      <c r="Z33" s="749"/>
      <c r="AA33" s="749"/>
      <c r="AB33" s="749"/>
      <c r="AC33" s="749"/>
      <c r="AD33" s="749"/>
      <c r="AE33" s="743">
        <v>10000</v>
      </c>
      <c r="AF33" s="749"/>
      <c r="AG33" s="743"/>
      <c r="AH33" s="757" t="s">
        <v>2651</v>
      </c>
    </row>
    <row r="34" s="737" customFormat="1" ht="15" customHeight="1" spans="1:34">
      <c r="A34" s="741">
        <v>45943</v>
      </c>
      <c r="B34" s="742" t="s">
        <v>2652</v>
      </c>
      <c r="C34" s="744">
        <v>17011696</v>
      </c>
      <c r="D34" s="744" t="s">
        <v>2582</v>
      </c>
      <c r="E34" s="743">
        <v>77806</v>
      </c>
      <c r="F34" s="743">
        <v>5000</v>
      </c>
      <c r="G34" s="744" t="s">
        <v>2633</v>
      </c>
      <c r="H34" s="743" t="s">
        <v>2587</v>
      </c>
      <c r="I34" s="744" t="s">
        <v>2587</v>
      </c>
      <c r="J34" s="749"/>
      <c r="K34" s="749"/>
      <c r="L34" s="749"/>
      <c r="M34" s="749"/>
      <c r="N34" s="749"/>
      <c r="O34" s="749"/>
      <c r="P34" s="743"/>
      <c r="Q34" s="749"/>
      <c r="R34" s="749"/>
      <c r="S34" s="749"/>
      <c r="T34" s="749"/>
      <c r="U34" s="749"/>
      <c r="V34" s="749"/>
      <c r="W34" s="749"/>
      <c r="X34" s="749"/>
      <c r="Y34" s="743"/>
      <c r="Z34" s="749"/>
      <c r="AA34" s="749"/>
      <c r="AB34" s="749"/>
      <c r="AC34" s="749"/>
      <c r="AD34" s="749"/>
      <c r="AE34" s="749"/>
      <c r="AF34" s="749"/>
      <c r="AG34" s="743">
        <v>5000</v>
      </c>
      <c r="AH34" s="757" t="s">
        <v>2651</v>
      </c>
    </row>
    <row r="35" s="737" customFormat="1" ht="15" customHeight="1" spans="1:34">
      <c r="A35" s="741">
        <v>45943</v>
      </c>
      <c r="B35" s="742" t="s">
        <v>2653</v>
      </c>
      <c r="C35" s="744">
        <v>17011697</v>
      </c>
      <c r="D35" s="744" t="s">
        <v>2582</v>
      </c>
      <c r="E35" s="743">
        <v>77806</v>
      </c>
      <c r="F35" s="743">
        <v>5000</v>
      </c>
      <c r="G35" s="744" t="s">
        <v>2399</v>
      </c>
      <c r="H35" s="743" t="s">
        <v>2393</v>
      </c>
      <c r="I35" s="744" t="s">
        <v>2321</v>
      </c>
      <c r="J35" s="749"/>
      <c r="K35" s="749"/>
      <c r="L35" s="749"/>
      <c r="M35" s="749"/>
      <c r="N35" s="749"/>
      <c r="O35" s="749"/>
      <c r="P35" s="743"/>
      <c r="Q35" s="749"/>
      <c r="R35" s="749"/>
      <c r="S35" s="749"/>
      <c r="T35" s="749"/>
      <c r="U35" s="749"/>
      <c r="V35" s="749"/>
      <c r="W35" s="749"/>
      <c r="X35" s="749"/>
      <c r="Y35" s="743"/>
      <c r="Z35" s="749"/>
      <c r="AA35" s="749"/>
      <c r="AB35" s="749"/>
      <c r="AC35" s="749"/>
      <c r="AD35" s="749"/>
      <c r="AE35" s="749"/>
      <c r="AF35" s="743">
        <v>5000</v>
      </c>
      <c r="AG35" s="743"/>
      <c r="AH35" s="757" t="s">
        <v>2651</v>
      </c>
    </row>
    <row r="36" s="737" customFormat="1" ht="15" customHeight="1" spans="1:34">
      <c r="A36" s="741">
        <v>45943</v>
      </c>
      <c r="B36" s="742" t="s">
        <v>2654</v>
      </c>
      <c r="C36" s="744">
        <v>17011895</v>
      </c>
      <c r="D36" s="744" t="s">
        <v>2582</v>
      </c>
      <c r="E36" s="743">
        <v>77806</v>
      </c>
      <c r="F36" s="743">
        <v>20000</v>
      </c>
      <c r="G36" s="744" t="s">
        <v>2375</v>
      </c>
      <c r="H36" s="743" t="s">
        <v>2393</v>
      </c>
      <c r="I36" s="744" t="s">
        <v>2321</v>
      </c>
      <c r="J36" s="749"/>
      <c r="K36" s="749"/>
      <c r="L36" s="743">
        <v>20000</v>
      </c>
      <c r="M36" s="749"/>
      <c r="N36" s="749"/>
      <c r="O36" s="749"/>
      <c r="P36" s="743"/>
      <c r="Q36" s="749"/>
      <c r="R36" s="749"/>
      <c r="S36" s="749"/>
      <c r="T36" s="749"/>
      <c r="U36" s="749"/>
      <c r="V36" s="749"/>
      <c r="W36" s="749"/>
      <c r="X36" s="749"/>
      <c r="Y36" s="743"/>
      <c r="Z36" s="749"/>
      <c r="AA36" s="749"/>
      <c r="AB36" s="749"/>
      <c r="AC36" s="749"/>
      <c r="AD36" s="749"/>
      <c r="AE36" s="749"/>
      <c r="AF36" s="749"/>
      <c r="AG36" s="743"/>
      <c r="AH36" s="757" t="s">
        <v>2651</v>
      </c>
    </row>
    <row r="37" s="737" customFormat="1" ht="15" customHeight="1" spans="1:34">
      <c r="A37" s="741">
        <v>45947</v>
      </c>
      <c r="B37" s="742" t="s">
        <v>2655</v>
      </c>
      <c r="C37" s="744">
        <v>17011414</v>
      </c>
      <c r="D37" s="744" t="s">
        <v>2656</v>
      </c>
      <c r="E37" s="743" t="s">
        <v>2624</v>
      </c>
      <c r="F37" s="743">
        <v>500</v>
      </c>
      <c r="G37" s="744" t="s">
        <v>2387</v>
      </c>
      <c r="H37" s="743" t="s">
        <v>2381</v>
      </c>
      <c r="I37" s="744" t="s">
        <v>2321</v>
      </c>
      <c r="J37" s="749"/>
      <c r="K37" s="749"/>
      <c r="L37" s="743"/>
      <c r="M37" s="749"/>
      <c r="N37" s="749"/>
      <c r="O37" s="749"/>
      <c r="P37" s="743"/>
      <c r="Q37" s="749"/>
      <c r="R37" s="749">
        <v>500</v>
      </c>
      <c r="S37" s="749"/>
      <c r="T37" s="749"/>
      <c r="U37" s="749"/>
      <c r="V37" s="749"/>
      <c r="W37" s="749"/>
      <c r="X37" s="749"/>
      <c r="Y37" s="743"/>
      <c r="Z37" s="749"/>
      <c r="AA37" s="749"/>
      <c r="AB37" s="749"/>
      <c r="AC37" s="749"/>
      <c r="AD37" s="749"/>
      <c r="AE37" s="749"/>
      <c r="AF37" s="749"/>
      <c r="AG37" s="743"/>
      <c r="AH37" s="757" t="s">
        <v>2657</v>
      </c>
    </row>
    <row r="38" s="737" customFormat="1" ht="15" customHeight="1" spans="1:34">
      <c r="A38" s="741">
        <v>45950</v>
      </c>
      <c r="B38" s="742" t="s">
        <v>2658</v>
      </c>
      <c r="C38" s="744">
        <v>17011157</v>
      </c>
      <c r="D38" s="744" t="s">
        <v>2615</v>
      </c>
      <c r="E38" s="743">
        <v>77770</v>
      </c>
      <c r="F38" s="743">
        <v>100000</v>
      </c>
      <c r="G38" s="744" t="s">
        <v>2380</v>
      </c>
      <c r="H38" s="743" t="s">
        <v>2381</v>
      </c>
      <c r="I38" s="744" t="s">
        <v>2321</v>
      </c>
      <c r="J38" s="743">
        <v>100000</v>
      </c>
      <c r="K38" s="749"/>
      <c r="L38" s="743"/>
      <c r="M38" s="749"/>
      <c r="N38" s="749"/>
      <c r="O38" s="749"/>
      <c r="P38" s="743"/>
      <c r="Q38" s="749"/>
      <c r="R38" s="749"/>
      <c r="S38" s="749"/>
      <c r="T38" s="749"/>
      <c r="U38" s="749"/>
      <c r="V38" s="749"/>
      <c r="W38" s="749"/>
      <c r="X38" s="749"/>
      <c r="Y38" s="743"/>
      <c r="Z38" s="749"/>
      <c r="AA38" s="749"/>
      <c r="AB38" s="749"/>
      <c r="AC38" s="749"/>
      <c r="AD38" s="749"/>
      <c r="AE38" s="749"/>
      <c r="AF38" s="749"/>
      <c r="AG38" s="743"/>
      <c r="AH38" s="757"/>
    </row>
    <row r="39" s="737" customFormat="1" ht="15" customHeight="1" spans="1:34">
      <c r="A39" s="741">
        <v>45950</v>
      </c>
      <c r="B39" s="742" t="s">
        <v>2659</v>
      </c>
      <c r="C39" s="744">
        <v>17011158</v>
      </c>
      <c r="D39" s="744" t="s">
        <v>2615</v>
      </c>
      <c r="E39" s="743">
        <v>77770</v>
      </c>
      <c r="F39" s="743">
        <v>100000</v>
      </c>
      <c r="G39" s="744" t="s">
        <v>2383</v>
      </c>
      <c r="H39" s="743" t="s">
        <v>2384</v>
      </c>
      <c r="I39" s="744" t="s">
        <v>2321</v>
      </c>
      <c r="J39" s="749"/>
      <c r="K39" s="749"/>
      <c r="L39" s="743"/>
      <c r="M39" s="743">
        <v>100000</v>
      </c>
      <c r="N39" s="749"/>
      <c r="O39" s="749"/>
      <c r="P39" s="743"/>
      <c r="Q39" s="749"/>
      <c r="R39" s="749"/>
      <c r="S39" s="749"/>
      <c r="T39" s="749"/>
      <c r="U39" s="749"/>
      <c r="V39" s="749"/>
      <c r="W39" s="749"/>
      <c r="X39" s="749"/>
      <c r="Y39" s="743"/>
      <c r="Z39" s="749"/>
      <c r="AA39" s="749"/>
      <c r="AB39" s="749"/>
      <c r="AC39" s="749"/>
      <c r="AD39" s="749"/>
      <c r="AE39" s="749"/>
      <c r="AF39" s="749"/>
      <c r="AG39" s="743"/>
      <c r="AH39" s="757"/>
    </row>
    <row r="40" s="737" customFormat="1" ht="15" customHeight="1" spans="1:34">
      <c r="A40" s="741">
        <v>45950</v>
      </c>
      <c r="B40" s="742" t="s">
        <v>2660</v>
      </c>
      <c r="C40" s="744" t="s">
        <v>2618</v>
      </c>
      <c r="D40" s="744" t="s">
        <v>2615</v>
      </c>
      <c r="E40" s="743" t="s">
        <v>2619</v>
      </c>
      <c r="F40" s="743">
        <v>2500</v>
      </c>
      <c r="G40" s="744" t="s">
        <v>2387</v>
      </c>
      <c r="H40" s="743" t="s">
        <v>2381</v>
      </c>
      <c r="I40" s="744" t="s">
        <v>2321</v>
      </c>
      <c r="J40" s="749"/>
      <c r="K40" s="749"/>
      <c r="L40" s="743"/>
      <c r="M40" s="749"/>
      <c r="N40" s="743">
        <v>2500</v>
      </c>
      <c r="O40" s="749"/>
      <c r="P40" s="743"/>
      <c r="Q40" s="749"/>
      <c r="R40" s="749"/>
      <c r="S40" s="749"/>
      <c r="T40" s="749"/>
      <c r="U40" s="749"/>
      <c r="V40" s="749"/>
      <c r="W40" s="749"/>
      <c r="X40" s="749"/>
      <c r="Y40" s="743"/>
      <c r="Z40" s="749"/>
      <c r="AA40" s="749"/>
      <c r="AB40" s="749"/>
      <c r="AC40" s="749"/>
      <c r="AD40" s="749"/>
      <c r="AE40" s="749"/>
      <c r="AF40" s="749"/>
      <c r="AG40" s="743"/>
      <c r="AH40" s="757"/>
    </row>
    <row r="41" s="737" customFormat="1" ht="15" customHeight="1" spans="1:34">
      <c r="A41" s="741">
        <v>45950</v>
      </c>
      <c r="B41" s="742" t="s">
        <v>2661</v>
      </c>
      <c r="C41" s="744" t="s">
        <v>2662</v>
      </c>
      <c r="D41" s="744" t="s">
        <v>2615</v>
      </c>
      <c r="E41" s="743" t="s">
        <v>2619</v>
      </c>
      <c r="F41" s="743">
        <v>500</v>
      </c>
      <c r="G41" s="744" t="s">
        <v>2387</v>
      </c>
      <c r="H41" s="743" t="s">
        <v>2393</v>
      </c>
      <c r="I41" s="744" t="s">
        <v>2321</v>
      </c>
      <c r="J41" s="749"/>
      <c r="K41" s="749"/>
      <c r="L41" s="743"/>
      <c r="M41" s="749"/>
      <c r="N41" s="749"/>
      <c r="O41" s="743">
        <v>500</v>
      </c>
      <c r="P41" s="743"/>
      <c r="Q41" s="749"/>
      <c r="R41" s="749"/>
      <c r="S41" s="749"/>
      <c r="T41" s="749"/>
      <c r="U41" s="749"/>
      <c r="V41" s="749"/>
      <c r="W41" s="749"/>
      <c r="X41" s="749"/>
      <c r="Y41" s="743"/>
      <c r="Z41" s="749"/>
      <c r="AA41" s="749"/>
      <c r="AB41" s="749"/>
      <c r="AC41" s="749"/>
      <c r="AD41" s="749"/>
      <c r="AE41" s="749"/>
      <c r="AF41" s="749"/>
      <c r="AG41" s="743"/>
      <c r="AH41" s="757"/>
    </row>
    <row r="42" s="737" customFormat="1" ht="15" customHeight="1" spans="1:34">
      <c r="A42" s="741">
        <v>45950</v>
      </c>
      <c r="B42" s="742" t="s">
        <v>2663</v>
      </c>
      <c r="C42" s="744" t="s">
        <v>2628</v>
      </c>
      <c r="D42" s="744" t="s">
        <v>2615</v>
      </c>
      <c r="E42" s="743" t="s">
        <v>2621</v>
      </c>
      <c r="F42" s="743">
        <v>1000</v>
      </c>
      <c r="G42" s="744" t="s">
        <v>2387</v>
      </c>
      <c r="H42" s="743" t="s">
        <v>2381</v>
      </c>
      <c r="I42" s="744" t="s">
        <v>2321</v>
      </c>
      <c r="J42" s="749"/>
      <c r="K42" s="749"/>
      <c r="L42" s="743"/>
      <c r="M42" s="749"/>
      <c r="N42" s="749"/>
      <c r="O42" s="749"/>
      <c r="P42" s="743">
        <v>1000</v>
      </c>
      <c r="Q42" s="749"/>
      <c r="R42" s="749"/>
      <c r="S42" s="749"/>
      <c r="T42" s="749"/>
      <c r="U42" s="749"/>
      <c r="V42" s="749"/>
      <c r="W42" s="749"/>
      <c r="X42" s="749"/>
      <c r="Y42" s="743"/>
      <c r="Z42" s="749"/>
      <c r="AA42" s="749"/>
      <c r="AB42" s="749"/>
      <c r="AC42" s="749"/>
      <c r="AD42" s="749"/>
      <c r="AE42" s="749"/>
      <c r="AF42" s="749"/>
      <c r="AG42" s="743"/>
      <c r="AH42" s="757"/>
    </row>
    <row r="43" s="737" customFormat="1" ht="15" customHeight="1" spans="1:34">
      <c r="A43" s="741">
        <v>45961</v>
      </c>
      <c r="B43" s="742" t="s">
        <v>2664</v>
      </c>
      <c r="C43" s="744">
        <v>17011414</v>
      </c>
      <c r="D43" s="744" t="s">
        <v>2665</v>
      </c>
      <c r="E43" s="743" t="s">
        <v>2624</v>
      </c>
      <c r="F43" s="743">
        <v>500</v>
      </c>
      <c r="G43" s="744" t="s">
        <v>2387</v>
      </c>
      <c r="H43" s="743" t="s">
        <v>2381</v>
      </c>
      <c r="I43" s="744" t="s">
        <v>2321</v>
      </c>
      <c r="J43" s="749"/>
      <c r="K43" s="749"/>
      <c r="L43" s="749"/>
      <c r="M43" s="749"/>
      <c r="N43" s="749"/>
      <c r="O43" s="749"/>
      <c r="P43" s="743"/>
      <c r="Q43" s="749"/>
      <c r="R43" s="749">
        <v>500</v>
      </c>
      <c r="S43" s="749"/>
      <c r="T43" s="749"/>
      <c r="U43" s="749"/>
      <c r="V43" s="749"/>
      <c r="W43" s="749"/>
      <c r="X43" s="749"/>
      <c r="Y43" s="743"/>
      <c r="Z43" s="749"/>
      <c r="AA43" s="749"/>
      <c r="AB43" s="749"/>
      <c r="AC43" s="749"/>
      <c r="AD43" s="749"/>
      <c r="AE43" s="749"/>
      <c r="AF43" s="749"/>
      <c r="AG43" s="743"/>
      <c r="AH43" s="757" t="s">
        <v>2666</v>
      </c>
    </row>
    <row r="44" s="737" customFormat="1" ht="15" customHeight="1" spans="1:34">
      <c r="A44" s="741">
        <v>45962</v>
      </c>
      <c r="B44" s="742" t="s">
        <v>2667</v>
      </c>
      <c r="C44" s="744" t="s">
        <v>2628</v>
      </c>
      <c r="D44" s="744" t="s">
        <v>2615</v>
      </c>
      <c r="E44" s="743" t="s">
        <v>2621</v>
      </c>
      <c r="F44" s="743">
        <v>1500</v>
      </c>
      <c r="G44" s="744" t="s">
        <v>2387</v>
      </c>
      <c r="H44" s="743" t="s">
        <v>2381</v>
      </c>
      <c r="I44" s="744" t="s">
        <v>2321</v>
      </c>
      <c r="J44" s="749"/>
      <c r="K44" s="749"/>
      <c r="L44" s="749"/>
      <c r="M44" s="749"/>
      <c r="N44" s="749"/>
      <c r="O44" s="749"/>
      <c r="P44" s="743">
        <v>1500</v>
      </c>
      <c r="Q44" s="749"/>
      <c r="R44" s="749"/>
      <c r="S44" s="749"/>
      <c r="T44" s="749"/>
      <c r="U44" s="749"/>
      <c r="V44" s="749"/>
      <c r="W44" s="749"/>
      <c r="X44" s="749"/>
      <c r="Y44" s="743"/>
      <c r="Z44" s="749"/>
      <c r="AA44" s="749"/>
      <c r="AB44" s="749"/>
      <c r="AC44" s="749"/>
      <c r="AD44" s="749"/>
      <c r="AE44" s="749"/>
      <c r="AF44" s="749"/>
      <c r="AG44" s="743"/>
      <c r="AH44" s="757"/>
    </row>
    <row r="45" s="737" customFormat="1" ht="15" customHeight="1" spans="1:34">
      <c r="A45" s="741">
        <v>45962</v>
      </c>
      <c r="B45" s="742" t="s">
        <v>2668</v>
      </c>
      <c r="C45" s="744" t="s">
        <v>2637</v>
      </c>
      <c r="D45" s="744" t="s">
        <v>2615</v>
      </c>
      <c r="E45" s="743" t="s">
        <v>2621</v>
      </c>
      <c r="F45" s="743">
        <v>500</v>
      </c>
      <c r="G45" s="744" t="s">
        <v>2387</v>
      </c>
      <c r="H45" s="743" t="s">
        <v>2393</v>
      </c>
      <c r="I45" s="744" t="s">
        <v>2321</v>
      </c>
      <c r="J45" s="749"/>
      <c r="K45" s="749"/>
      <c r="L45" s="749"/>
      <c r="M45" s="749"/>
      <c r="N45" s="749"/>
      <c r="O45" s="749"/>
      <c r="P45" s="743"/>
      <c r="Q45" s="749">
        <v>500</v>
      </c>
      <c r="R45" s="749"/>
      <c r="S45" s="749"/>
      <c r="T45" s="749"/>
      <c r="U45" s="749"/>
      <c r="V45" s="749"/>
      <c r="W45" s="749"/>
      <c r="X45" s="749"/>
      <c r="Y45" s="743"/>
      <c r="Z45" s="749"/>
      <c r="AA45" s="749"/>
      <c r="AB45" s="749"/>
      <c r="AC45" s="749"/>
      <c r="AD45" s="749"/>
      <c r="AE45" s="749"/>
      <c r="AF45" s="749"/>
      <c r="AG45" s="743"/>
      <c r="AH45" s="757"/>
    </row>
    <row r="46" s="737" customFormat="1" ht="15" customHeight="1" spans="1:34">
      <c r="A46" s="741">
        <v>45973</v>
      </c>
      <c r="B46" s="742" t="s">
        <v>2669</v>
      </c>
      <c r="C46" s="744">
        <v>17011157</v>
      </c>
      <c r="D46" s="744" t="s">
        <v>2615</v>
      </c>
      <c r="E46" s="743">
        <v>77770</v>
      </c>
      <c r="F46" s="743">
        <v>40000</v>
      </c>
      <c r="G46" s="744" t="s">
        <v>2380</v>
      </c>
      <c r="H46" s="743" t="s">
        <v>2381</v>
      </c>
      <c r="I46" s="744" t="s">
        <v>2321</v>
      </c>
      <c r="J46" s="743">
        <v>40000</v>
      </c>
      <c r="K46" s="749"/>
      <c r="L46" s="749"/>
      <c r="M46" s="749"/>
      <c r="N46" s="749"/>
      <c r="O46" s="749"/>
      <c r="P46" s="743"/>
      <c r="Q46" s="749"/>
      <c r="R46" s="749"/>
      <c r="S46" s="749"/>
      <c r="T46" s="749"/>
      <c r="U46" s="749"/>
      <c r="V46" s="749"/>
      <c r="W46" s="749"/>
      <c r="X46" s="749"/>
      <c r="Y46" s="743"/>
      <c r="Z46" s="749"/>
      <c r="AA46" s="749"/>
      <c r="AB46" s="749"/>
      <c r="AC46" s="749"/>
      <c r="AD46" s="749"/>
      <c r="AE46" s="749"/>
      <c r="AF46" s="749"/>
      <c r="AG46" s="743"/>
      <c r="AH46" s="757"/>
    </row>
    <row r="47" s="737" customFormat="1" ht="15" customHeight="1" spans="1:34">
      <c r="A47" s="741">
        <f t="shared" ref="A47:A52" si="0">A46+1</f>
        <v>45974</v>
      </c>
      <c r="B47" s="742" t="s">
        <v>2669</v>
      </c>
      <c r="C47" s="744" t="s">
        <v>2648</v>
      </c>
      <c r="D47" s="744" t="s">
        <v>2615</v>
      </c>
      <c r="E47" s="743">
        <v>77770</v>
      </c>
      <c r="F47" s="743">
        <v>20000</v>
      </c>
      <c r="G47" s="744" t="s">
        <v>2380</v>
      </c>
      <c r="H47" s="743" t="s">
        <v>2393</v>
      </c>
      <c r="I47" s="744" t="s">
        <v>2321</v>
      </c>
      <c r="J47" s="749"/>
      <c r="K47" s="743">
        <v>20000</v>
      </c>
      <c r="L47" s="749"/>
      <c r="M47" s="749"/>
      <c r="N47" s="749"/>
      <c r="O47" s="749"/>
      <c r="P47" s="743"/>
      <c r="Q47" s="749"/>
      <c r="R47" s="749"/>
      <c r="S47" s="749"/>
      <c r="T47" s="749"/>
      <c r="U47" s="749"/>
      <c r="V47" s="749"/>
      <c r="W47" s="749"/>
      <c r="X47" s="749"/>
      <c r="Y47" s="743"/>
      <c r="Z47" s="749"/>
      <c r="AA47" s="749"/>
      <c r="AB47" s="749"/>
      <c r="AC47" s="749"/>
      <c r="AD47" s="749"/>
      <c r="AE47" s="749"/>
      <c r="AF47" s="749"/>
      <c r="AG47" s="743"/>
      <c r="AH47" s="757"/>
    </row>
    <row r="48" s="737" customFormat="1" ht="15" customHeight="1" spans="1:34">
      <c r="A48" s="741">
        <f t="shared" si="0"/>
        <v>45975</v>
      </c>
      <c r="B48" s="742" t="s">
        <v>2670</v>
      </c>
      <c r="C48" s="744">
        <v>17011158</v>
      </c>
      <c r="D48" s="744" t="s">
        <v>2615</v>
      </c>
      <c r="E48" s="743">
        <v>77770</v>
      </c>
      <c r="F48" s="743">
        <v>40000</v>
      </c>
      <c r="G48" s="744" t="s">
        <v>2383</v>
      </c>
      <c r="H48" s="743" t="s">
        <v>2384</v>
      </c>
      <c r="I48" s="744" t="s">
        <v>2321</v>
      </c>
      <c r="J48" s="749"/>
      <c r="K48" s="749"/>
      <c r="L48" s="749"/>
      <c r="M48" s="743">
        <v>40000</v>
      </c>
      <c r="N48" s="749"/>
      <c r="O48" s="749"/>
      <c r="P48" s="743"/>
      <c r="Q48" s="749"/>
      <c r="R48" s="749"/>
      <c r="S48" s="749"/>
      <c r="T48" s="749"/>
      <c r="U48" s="749"/>
      <c r="V48" s="749"/>
      <c r="W48" s="749"/>
      <c r="X48" s="749"/>
      <c r="Y48" s="743"/>
      <c r="Z48" s="749"/>
      <c r="AA48" s="749"/>
      <c r="AB48" s="749"/>
      <c r="AC48" s="749"/>
      <c r="AD48" s="749"/>
      <c r="AE48" s="749"/>
      <c r="AF48" s="749"/>
      <c r="AG48" s="743"/>
      <c r="AH48" s="757"/>
    </row>
    <row r="49" s="737" customFormat="1" ht="15" customHeight="1" spans="1:34">
      <c r="A49" s="741">
        <f t="shared" si="0"/>
        <v>45976</v>
      </c>
      <c r="B49" s="742" t="s">
        <v>2671</v>
      </c>
      <c r="C49" s="744" t="s">
        <v>2662</v>
      </c>
      <c r="D49" s="744" t="s">
        <v>2615</v>
      </c>
      <c r="E49" s="743" t="s">
        <v>2619</v>
      </c>
      <c r="F49" s="743">
        <v>500</v>
      </c>
      <c r="G49" s="744" t="s">
        <v>2387</v>
      </c>
      <c r="H49" s="743" t="s">
        <v>2393</v>
      </c>
      <c r="I49" s="744" t="s">
        <v>2321</v>
      </c>
      <c r="J49" s="749"/>
      <c r="K49" s="749"/>
      <c r="L49" s="749"/>
      <c r="M49" s="749"/>
      <c r="N49" s="743"/>
      <c r="O49" s="743">
        <v>500</v>
      </c>
      <c r="P49" s="743"/>
      <c r="Q49" s="743"/>
      <c r="R49" s="749"/>
      <c r="S49" s="749"/>
      <c r="T49" s="749"/>
      <c r="U49" s="749"/>
      <c r="V49" s="749"/>
      <c r="W49" s="749"/>
      <c r="X49" s="749"/>
      <c r="Y49" s="743"/>
      <c r="Z49" s="749"/>
      <c r="AA49" s="749"/>
      <c r="AB49" s="749"/>
      <c r="AC49" s="749"/>
      <c r="AD49" s="749"/>
      <c r="AE49" s="749"/>
      <c r="AF49" s="749"/>
      <c r="AG49" s="743"/>
      <c r="AH49" s="757"/>
    </row>
    <row r="50" s="737" customFormat="1" ht="15" customHeight="1" spans="1:34">
      <c r="A50" s="741">
        <f t="shared" si="0"/>
        <v>45977</v>
      </c>
      <c r="B50" s="742" t="s">
        <v>2672</v>
      </c>
      <c r="C50" s="744" t="s">
        <v>2628</v>
      </c>
      <c r="D50" s="744" t="s">
        <v>2615</v>
      </c>
      <c r="E50" s="743" t="s">
        <v>2621</v>
      </c>
      <c r="F50" s="743">
        <v>2000</v>
      </c>
      <c r="G50" s="744" t="s">
        <v>2387</v>
      </c>
      <c r="H50" s="743" t="s">
        <v>2381</v>
      </c>
      <c r="I50" s="744" t="s">
        <v>2321</v>
      </c>
      <c r="J50" s="749"/>
      <c r="K50" s="749"/>
      <c r="L50" s="749"/>
      <c r="M50" s="749"/>
      <c r="N50" s="749"/>
      <c r="O50" s="749"/>
      <c r="P50" s="743">
        <v>2000</v>
      </c>
      <c r="Q50" s="749"/>
      <c r="R50" s="749"/>
      <c r="S50" s="749"/>
      <c r="T50" s="749"/>
      <c r="U50" s="749"/>
      <c r="V50" s="749"/>
      <c r="W50" s="749"/>
      <c r="X50" s="749"/>
      <c r="Y50" s="743"/>
      <c r="Z50" s="749"/>
      <c r="AA50" s="749"/>
      <c r="AB50" s="749"/>
      <c r="AC50" s="749"/>
      <c r="AD50" s="749"/>
      <c r="AE50" s="749"/>
      <c r="AF50" s="749"/>
      <c r="AG50" s="743"/>
      <c r="AH50" s="757"/>
    </row>
    <row r="51" s="737" customFormat="1" ht="15" customHeight="1" spans="1:34">
      <c r="A51" s="741">
        <f t="shared" si="0"/>
        <v>45978</v>
      </c>
      <c r="B51" s="742" t="s">
        <v>2673</v>
      </c>
      <c r="C51" s="744" t="s">
        <v>2637</v>
      </c>
      <c r="D51" s="744" t="s">
        <v>2615</v>
      </c>
      <c r="E51" s="743" t="s">
        <v>2621</v>
      </c>
      <c r="F51" s="743">
        <v>500</v>
      </c>
      <c r="G51" s="744" t="s">
        <v>2387</v>
      </c>
      <c r="H51" s="743" t="s">
        <v>2393</v>
      </c>
      <c r="I51" s="744" t="s">
        <v>2321</v>
      </c>
      <c r="J51" s="749"/>
      <c r="K51" s="749"/>
      <c r="L51" s="749"/>
      <c r="M51" s="749"/>
      <c r="N51" s="749"/>
      <c r="O51" s="749"/>
      <c r="P51" s="743"/>
      <c r="Q51" s="743">
        <v>500</v>
      </c>
      <c r="R51" s="749"/>
      <c r="S51" s="749"/>
      <c r="T51" s="749"/>
      <c r="U51" s="749"/>
      <c r="V51" s="749"/>
      <c r="W51" s="749"/>
      <c r="X51" s="749"/>
      <c r="Y51" s="743"/>
      <c r="Z51" s="749"/>
      <c r="AA51" s="749"/>
      <c r="AB51" s="749"/>
      <c r="AC51" s="749"/>
      <c r="AD51" s="749"/>
      <c r="AE51" s="749"/>
      <c r="AF51" s="749"/>
      <c r="AG51" s="743"/>
      <c r="AH51" s="757"/>
    </row>
    <row r="52" s="737" customFormat="1" ht="15" customHeight="1" spans="1:34">
      <c r="A52" s="741">
        <f t="shared" si="0"/>
        <v>45979</v>
      </c>
      <c r="B52" s="742" t="s">
        <v>2674</v>
      </c>
      <c r="C52" s="744">
        <v>17011903</v>
      </c>
      <c r="D52" s="744" t="s">
        <v>2615</v>
      </c>
      <c r="E52" s="743" t="s">
        <v>2638</v>
      </c>
      <c r="F52" s="743">
        <v>200</v>
      </c>
      <c r="G52" s="744" t="s">
        <v>2643</v>
      </c>
      <c r="H52" s="743" t="s">
        <v>2381</v>
      </c>
      <c r="I52" s="744" t="s">
        <v>2321</v>
      </c>
      <c r="J52" s="749"/>
      <c r="K52" s="749"/>
      <c r="L52" s="749"/>
      <c r="M52" s="749"/>
      <c r="N52" s="749"/>
      <c r="O52" s="749"/>
      <c r="P52" s="743"/>
      <c r="Q52" s="749"/>
      <c r="R52" s="749"/>
      <c r="S52" s="749"/>
      <c r="T52" s="749"/>
      <c r="U52" s="749"/>
      <c r="V52" s="749"/>
      <c r="W52" s="749"/>
      <c r="X52" s="749"/>
      <c r="Y52" s="743"/>
      <c r="Z52" s="743">
        <v>200</v>
      </c>
      <c r="AA52" s="749"/>
      <c r="AB52" s="749"/>
      <c r="AC52" s="749"/>
      <c r="AD52" s="749"/>
      <c r="AE52" s="749"/>
      <c r="AF52" s="749"/>
      <c r="AG52" s="743"/>
      <c r="AH52" s="758" t="s">
        <v>2644</v>
      </c>
    </row>
    <row r="53" s="737" customFormat="1" ht="15" customHeight="1" spans="1:34">
      <c r="A53" s="741">
        <v>45987</v>
      </c>
      <c r="B53" s="742" t="s">
        <v>2675</v>
      </c>
      <c r="C53" s="744">
        <v>17011157</v>
      </c>
      <c r="D53" s="744" t="s">
        <v>2615</v>
      </c>
      <c r="E53" s="743">
        <v>77770</v>
      </c>
      <c r="F53" s="743">
        <v>20000</v>
      </c>
      <c r="G53" s="744" t="s">
        <v>2380</v>
      </c>
      <c r="H53" s="743" t="s">
        <v>2381</v>
      </c>
      <c r="I53" s="744" t="s">
        <v>2321</v>
      </c>
      <c r="J53" s="743">
        <v>20000</v>
      </c>
      <c r="K53" s="749"/>
      <c r="L53" s="749"/>
      <c r="M53" s="749"/>
      <c r="N53" s="749"/>
      <c r="O53" s="749"/>
      <c r="P53" s="743"/>
      <c r="Q53" s="749"/>
      <c r="R53" s="749"/>
      <c r="S53" s="749"/>
      <c r="T53" s="749"/>
      <c r="U53" s="749"/>
      <c r="V53" s="749"/>
      <c r="W53" s="749"/>
      <c r="X53" s="749"/>
      <c r="Y53" s="743"/>
      <c r="Z53" s="749"/>
      <c r="AA53" s="749"/>
      <c r="AB53" s="749"/>
      <c r="AC53" s="749"/>
      <c r="AD53" s="749"/>
      <c r="AE53" s="749"/>
      <c r="AF53" s="749"/>
      <c r="AG53" s="743"/>
      <c r="AH53" s="757"/>
    </row>
    <row r="54" s="737" customFormat="1" ht="15" customHeight="1" spans="1:34">
      <c r="A54" s="741">
        <v>45987</v>
      </c>
      <c r="B54" s="742" t="s">
        <v>2676</v>
      </c>
      <c r="C54" s="744">
        <v>17011158</v>
      </c>
      <c r="D54" s="744" t="s">
        <v>2615</v>
      </c>
      <c r="E54" s="743">
        <v>77770</v>
      </c>
      <c r="F54" s="743">
        <v>30000</v>
      </c>
      <c r="G54" s="744" t="s">
        <v>2383</v>
      </c>
      <c r="H54" s="743" t="s">
        <v>2384</v>
      </c>
      <c r="I54" s="744" t="s">
        <v>2321</v>
      </c>
      <c r="J54" s="749"/>
      <c r="K54" s="749"/>
      <c r="L54" s="749"/>
      <c r="M54" s="743">
        <v>30000</v>
      </c>
      <c r="N54" s="749"/>
      <c r="O54" s="749"/>
      <c r="P54" s="743"/>
      <c r="Q54" s="749"/>
      <c r="R54" s="749"/>
      <c r="S54" s="749"/>
      <c r="T54" s="749"/>
      <c r="U54" s="749"/>
      <c r="V54" s="749"/>
      <c r="W54" s="749"/>
      <c r="X54" s="749"/>
      <c r="Y54" s="743"/>
      <c r="Z54" s="749"/>
      <c r="AA54" s="749"/>
      <c r="AB54" s="749"/>
      <c r="AC54" s="749"/>
      <c r="AD54" s="749"/>
      <c r="AE54" s="749"/>
      <c r="AF54" s="749"/>
      <c r="AG54" s="743"/>
      <c r="AH54" s="757"/>
    </row>
    <row r="55" s="737" customFormat="1" ht="15" customHeight="1" spans="1:34">
      <c r="A55" s="741">
        <v>45987</v>
      </c>
      <c r="B55" s="742" t="s">
        <v>2677</v>
      </c>
      <c r="C55" s="744">
        <v>17011902</v>
      </c>
      <c r="D55" s="744" t="s">
        <v>2615</v>
      </c>
      <c r="E55" s="743" t="s">
        <v>2638</v>
      </c>
      <c r="F55" s="743">
        <v>902</v>
      </c>
      <c r="G55" s="744" t="s">
        <v>2639</v>
      </c>
      <c r="H55" s="743" t="s">
        <v>2381</v>
      </c>
      <c r="I55" s="744" t="s">
        <v>2321</v>
      </c>
      <c r="J55" s="749"/>
      <c r="K55" s="749"/>
      <c r="L55" s="749"/>
      <c r="M55" s="749"/>
      <c r="N55" s="749"/>
      <c r="O55" s="749"/>
      <c r="P55" s="743"/>
      <c r="Q55" s="749"/>
      <c r="R55" s="749"/>
      <c r="S55" s="749"/>
      <c r="T55" s="749"/>
      <c r="U55" s="749"/>
      <c r="V55" s="749"/>
      <c r="W55" s="749"/>
      <c r="X55" s="749"/>
      <c r="Y55" s="743">
        <v>902</v>
      </c>
      <c r="Z55" s="749"/>
      <c r="AA55" s="749"/>
      <c r="AB55" s="749"/>
      <c r="AC55" s="749"/>
      <c r="AD55" s="749"/>
      <c r="AE55" s="749"/>
      <c r="AF55" s="749"/>
      <c r="AG55" s="743"/>
      <c r="AH55" s="757"/>
    </row>
    <row r="56" s="737" customFormat="1" ht="15" customHeight="1" spans="1:34">
      <c r="A56" s="741">
        <v>45988</v>
      </c>
      <c r="B56" s="742" t="s">
        <v>2678</v>
      </c>
      <c r="C56" s="744">
        <v>17011414</v>
      </c>
      <c r="D56" s="744" t="s">
        <v>2665</v>
      </c>
      <c r="E56" s="743" t="s">
        <v>2624</v>
      </c>
      <c r="F56" s="743">
        <v>540</v>
      </c>
      <c r="G56" s="744" t="s">
        <v>2387</v>
      </c>
      <c r="H56" s="743" t="s">
        <v>2381</v>
      </c>
      <c r="I56" s="744" t="s">
        <v>2321</v>
      </c>
      <c r="J56" s="749"/>
      <c r="K56" s="749"/>
      <c r="L56" s="749"/>
      <c r="M56" s="749"/>
      <c r="N56" s="749"/>
      <c r="O56" s="749"/>
      <c r="P56" s="743"/>
      <c r="Q56" s="749"/>
      <c r="R56" s="749">
        <v>540</v>
      </c>
      <c r="S56" s="749"/>
      <c r="T56" s="749"/>
      <c r="U56" s="749"/>
      <c r="V56" s="749"/>
      <c r="W56" s="749"/>
      <c r="X56" s="749"/>
      <c r="Y56" s="743"/>
      <c r="Z56" s="749"/>
      <c r="AA56" s="749"/>
      <c r="AB56" s="749"/>
      <c r="AC56" s="749"/>
      <c r="AD56" s="749"/>
      <c r="AE56" s="749"/>
      <c r="AF56" s="749"/>
      <c r="AG56" s="743"/>
      <c r="AH56" s="757"/>
    </row>
    <row r="57" s="737" customFormat="1" ht="15" customHeight="1" spans="1:34">
      <c r="A57" s="741">
        <v>46000</v>
      </c>
      <c r="B57" s="742" t="s">
        <v>2482</v>
      </c>
      <c r="C57" s="744">
        <v>17011157</v>
      </c>
      <c r="D57" s="744" t="s">
        <v>2615</v>
      </c>
      <c r="E57" s="743">
        <v>77770</v>
      </c>
      <c r="F57" s="743">
        <v>20000</v>
      </c>
      <c r="G57" s="744" t="s">
        <v>2380</v>
      </c>
      <c r="H57" s="743" t="s">
        <v>2381</v>
      </c>
      <c r="I57" s="744" t="s">
        <v>2321</v>
      </c>
      <c r="J57" s="743">
        <v>20000</v>
      </c>
      <c r="K57" s="749"/>
      <c r="L57" s="749"/>
      <c r="M57" s="749"/>
      <c r="N57" s="749"/>
      <c r="O57" s="749"/>
      <c r="P57" s="743"/>
      <c r="Q57" s="749"/>
      <c r="R57" s="749"/>
      <c r="S57" s="749"/>
      <c r="T57" s="749"/>
      <c r="U57" s="749"/>
      <c r="V57" s="749"/>
      <c r="W57" s="749"/>
      <c r="X57" s="749"/>
      <c r="Y57" s="743"/>
      <c r="Z57" s="749"/>
      <c r="AA57" s="749"/>
      <c r="AB57" s="749"/>
      <c r="AC57" s="749"/>
      <c r="AD57" s="749"/>
      <c r="AE57" s="749"/>
      <c r="AF57" s="749"/>
      <c r="AG57" s="743"/>
      <c r="AH57" s="757" t="s">
        <v>2679</v>
      </c>
    </row>
    <row r="58" s="737" customFormat="1" ht="15" customHeight="1" spans="1:34">
      <c r="A58" s="741">
        <v>46000</v>
      </c>
      <c r="B58" s="742" t="s">
        <v>2482</v>
      </c>
      <c r="C58" s="744" t="s">
        <v>2648</v>
      </c>
      <c r="D58" s="744" t="s">
        <v>2615</v>
      </c>
      <c r="E58" s="743">
        <v>77770</v>
      </c>
      <c r="F58" s="743">
        <v>20000</v>
      </c>
      <c r="G58" s="744" t="s">
        <v>2380</v>
      </c>
      <c r="H58" s="743" t="s">
        <v>2393</v>
      </c>
      <c r="I58" s="744" t="s">
        <v>2321</v>
      </c>
      <c r="J58" s="749"/>
      <c r="K58" s="743">
        <v>20000</v>
      </c>
      <c r="L58" s="749"/>
      <c r="M58" s="749"/>
      <c r="N58" s="749"/>
      <c r="O58" s="749"/>
      <c r="P58" s="743"/>
      <c r="Q58" s="749"/>
      <c r="R58" s="749"/>
      <c r="S58" s="749"/>
      <c r="T58" s="749"/>
      <c r="U58" s="749"/>
      <c r="V58" s="749"/>
      <c r="W58" s="749"/>
      <c r="X58" s="749"/>
      <c r="Y58" s="743"/>
      <c r="Z58" s="749"/>
      <c r="AA58" s="749"/>
      <c r="AB58" s="749"/>
      <c r="AC58" s="749"/>
      <c r="AD58" s="749"/>
      <c r="AE58" s="749"/>
      <c r="AF58" s="749"/>
      <c r="AG58" s="743"/>
      <c r="AH58" s="757" t="s">
        <v>2679</v>
      </c>
    </row>
    <row r="59" s="737" customFormat="1" ht="15" customHeight="1" spans="1:34">
      <c r="A59" s="741">
        <v>46000</v>
      </c>
      <c r="B59" s="742" t="s">
        <v>2680</v>
      </c>
      <c r="C59" s="744">
        <v>17011158</v>
      </c>
      <c r="D59" s="744" t="s">
        <v>2615</v>
      </c>
      <c r="E59" s="743">
        <v>77770</v>
      </c>
      <c r="F59" s="743">
        <v>20000</v>
      </c>
      <c r="G59" s="744" t="s">
        <v>2383</v>
      </c>
      <c r="H59" s="743" t="s">
        <v>2384</v>
      </c>
      <c r="I59" s="744" t="s">
        <v>2321</v>
      </c>
      <c r="J59" s="749"/>
      <c r="K59" s="749"/>
      <c r="L59" s="749"/>
      <c r="M59" s="743">
        <v>20000</v>
      </c>
      <c r="N59" s="749"/>
      <c r="O59" s="749"/>
      <c r="P59" s="743"/>
      <c r="Q59" s="749"/>
      <c r="R59" s="749"/>
      <c r="S59" s="749"/>
      <c r="T59" s="749"/>
      <c r="U59" s="749"/>
      <c r="V59" s="749"/>
      <c r="W59" s="749"/>
      <c r="X59" s="749"/>
      <c r="Y59" s="743"/>
      <c r="Z59" s="749"/>
      <c r="AA59" s="749"/>
      <c r="AB59" s="749"/>
      <c r="AC59" s="749"/>
      <c r="AD59" s="749"/>
      <c r="AE59" s="749"/>
      <c r="AF59" s="749"/>
      <c r="AG59" s="743"/>
      <c r="AH59" s="757"/>
    </row>
    <row r="60" s="737" customFormat="1" ht="15" customHeight="1" spans="1:34">
      <c r="A60" s="741">
        <v>46000</v>
      </c>
      <c r="B60" s="742" t="s">
        <v>2681</v>
      </c>
      <c r="C60" s="744" t="s">
        <v>2637</v>
      </c>
      <c r="D60" s="744" t="s">
        <v>2615</v>
      </c>
      <c r="E60" s="743" t="s">
        <v>2621</v>
      </c>
      <c r="F60" s="743">
        <v>500</v>
      </c>
      <c r="G60" s="744" t="s">
        <v>2387</v>
      </c>
      <c r="H60" s="743" t="s">
        <v>2393</v>
      </c>
      <c r="I60" s="744" t="s">
        <v>2321</v>
      </c>
      <c r="J60" s="749"/>
      <c r="K60" s="749"/>
      <c r="L60" s="749"/>
      <c r="M60" s="749"/>
      <c r="N60" s="749"/>
      <c r="O60" s="749"/>
      <c r="P60" s="743"/>
      <c r="Q60" s="743">
        <v>500</v>
      </c>
      <c r="R60" s="749"/>
      <c r="S60" s="749"/>
      <c r="T60" s="749"/>
      <c r="U60" s="749"/>
      <c r="V60" s="749"/>
      <c r="W60" s="749"/>
      <c r="X60" s="749"/>
      <c r="Y60" s="743"/>
      <c r="Z60" s="749"/>
      <c r="AA60" s="749"/>
      <c r="AB60" s="749"/>
      <c r="AC60" s="749"/>
      <c r="AD60" s="749"/>
      <c r="AE60" s="749"/>
      <c r="AF60" s="749"/>
      <c r="AG60" s="743"/>
      <c r="AH60" s="757"/>
    </row>
    <row r="61" s="737" customFormat="1" ht="15" customHeight="1" spans="1:34">
      <c r="A61" s="741">
        <v>46016</v>
      </c>
      <c r="B61" s="742" t="s">
        <v>2682</v>
      </c>
      <c r="C61" s="744">
        <v>17011414</v>
      </c>
      <c r="D61" s="744" t="s">
        <v>2665</v>
      </c>
      <c r="E61" s="743" t="s">
        <v>2624</v>
      </c>
      <c r="F61" s="743">
        <v>1020</v>
      </c>
      <c r="G61" s="744" t="s">
        <v>2387</v>
      </c>
      <c r="H61" s="743" t="s">
        <v>2381</v>
      </c>
      <c r="I61" s="744" t="s">
        <v>2321</v>
      </c>
      <c r="J61" s="749"/>
      <c r="K61" s="749"/>
      <c r="L61" s="749"/>
      <c r="M61" s="749"/>
      <c r="N61" s="749"/>
      <c r="O61" s="749"/>
      <c r="P61" s="743"/>
      <c r="Q61" s="743"/>
      <c r="R61" s="749">
        <v>1020</v>
      </c>
      <c r="S61" s="749"/>
      <c r="T61" s="749"/>
      <c r="U61" s="749"/>
      <c r="V61" s="749"/>
      <c r="W61" s="749"/>
      <c r="X61" s="749"/>
      <c r="Y61" s="743"/>
      <c r="Z61" s="749"/>
      <c r="AA61" s="749"/>
      <c r="AB61" s="749"/>
      <c r="AC61" s="749"/>
      <c r="AD61" s="749"/>
      <c r="AE61" s="749"/>
      <c r="AF61" s="749"/>
      <c r="AG61" s="743"/>
      <c r="AH61" s="757" t="s">
        <v>2683</v>
      </c>
    </row>
    <row r="62" s="737" customFormat="1" ht="15" customHeight="1" spans="1:34">
      <c r="A62" s="741">
        <v>46017</v>
      </c>
      <c r="B62" s="742" t="s">
        <v>2684</v>
      </c>
      <c r="C62" s="744">
        <v>17011695</v>
      </c>
      <c r="D62" s="744" t="s">
        <v>2582</v>
      </c>
      <c r="E62" s="743">
        <v>77806</v>
      </c>
      <c r="F62" s="743">
        <v>10000</v>
      </c>
      <c r="G62" s="744" t="s">
        <v>2398</v>
      </c>
      <c r="H62" s="743" t="s">
        <v>2587</v>
      </c>
      <c r="I62" s="744" t="s">
        <v>2587</v>
      </c>
      <c r="J62" s="749"/>
      <c r="K62" s="749"/>
      <c r="L62" s="749"/>
      <c r="M62" s="749"/>
      <c r="N62" s="749"/>
      <c r="O62" s="749"/>
      <c r="P62" s="743"/>
      <c r="Q62" s="743"/>
      <c r="R62" s="749"/>
      <c r="S62" s="749"/>
      <c r="T62" s="749"/>
      <c r="U62" s="749"/>
      <c r="V62" s="749"/>
      <c r="W62" s="749"/>
      <c r="X62" s="749"/>
      <c r="Y62" s="743"/>
      <c r="Z62" s="749"/>
      <c r="AA62" s="749"/>
      <c r="AB62" s="749"/>
      <c r="AC62" s="749"/>
      <c r="AD62" s="749"/>
      <c r="AE62" s="743">
        <v>10000</v>
      </c>
      <c r="AF62" s="749"/>
      <c r="AG62" s="743"/>
      <c r="AH62" s="757" t="s">
        <v>2685</v>
      </c>
    </row>
    <row r="63" s="737" customFormat="1" ht="15" customHeight="1" spans="1:34">
      <c r="A63" s="741">
        <v>46017</v>
      </c>
      <c r="B63" s="742" t="s">
        <v>2686</v>
      </c>
      <c r="C63" s="744">
        <v>17011696</v>
      </c>
      <c r="D63" s="744" t="s">
        <v>2582</v>
      </c>
      <c r="E63" s="743">
        <v>77806</v>
      </c>
      <c r="F63" s="743">
        <v>5000</v>
      </c>
      <c r="G63" s="744" t="s">
        <v>2633</v>
      </c>
      <c r="H63" s="743" t="s">
        <v>2587</v>
      </c>
      <c r="I63" s="744" t="s">
        <v>2587</v>
      </c>
      <c r="J63" s="749"/>
      <c r="K63" s="749"/>
      <c r="L63" s="749"/>
      <c r="M63" s="749"/>
      <c r="N63" s="749"/>
      <c r="O63" s="749"/>
      <c r="P63" s="743"/>
      <c r="Q63" s="743"/>
      <c r="R63" s="749"/>
      <c r="S63" s="749"/>
      <c r="T63" s="749"/>
      <c r="U63" s="749"/>
      <c r="V63" s="749"/>
      <c r="W63" s="749"/>
      <c r="X63" s="749"/>
      <c r="Y63" s="743"/>
      <c r="Z63" s="749"/>
      <c r="AA63" s="749"/>
      <c r="AB63" s="749"/>
      <c r="AC63" s="749"/>
      <c r="AD63" s="749"/>
      <c r="AE63" s="749"/>
      <c r="AF63" s="749"/>
      <c r="AG63" s="743">
        <v>5000</v>
      </c>
      <c r="AH63" s="757" t="s">
        <v>2685</v>
      </c>
    </row>
    <row r="64" s="737" customFormat="1" ht="15" customHeight="1" spans="1:34">
      <c r="A64" s="741">
        <v>46017</v>
      </c>
      <c r="B64" s="742">
        <v>1000035381</v>
      </c>
      <c r="C64" s="744">
        <v>17011697</v>
      </c>
      <c r="D64" s="744" t="s">
        <v>2582</v>
      </c>
      <c r="E64" s="743">
        <v>77806</v>
      </c>
      <c r="F64" s="743">
        <v>5000</v>
      </c>
      <c r="G64" s="744" t="s">
        <v>2399</v>
      </c>
      <c r="H64" s="743" t="s">
        <v>2393</v>
      </c>
      <c r="I64" s="744" t="s">
        <v>2587</v>
      </c>
      <c r="J64" s="749"/>
      <c r="K64" s="749"/>
      <c r="L64" s="749"/>
      <c r="M64" s="749"/>
      <c r="N64" s="749"/>
      <c r="O64" s="749"/>
      <c r="P64" s="743"/>
      <c r="Q64" s="743"/>
      <c r="R64" s="749"/>
      <c r="S64" s="749"/>
      <c r="T64" s="749"/>
      <c r="U64" s="749"/>
      <c r="V64" s="749"/>
      <c r="W64" s="749"/>
      <c r="X64" s="749"/>
      <c r="Y64" s="743"/>
      <c r="Z64" s="749"/>
      <c r="AA64" s="749"/>
      <c r="AB64" s="749"/>
      <c r="AC64" s="749"/>
      <c r="AD64" s="749"/>
      <c r="AE64" s="749"/>
      <c r="AF64" s="743">
        <v>5000</v>
      </c>
      <c r="AG64" s="743"/>
      <c r="AH64" s="757" t="s">
        <v>2685</v>
      </c>
    </row>
    <row r="65" s="738" customFormat="1" ht="15" customHeight="1" spans="1:34">
      <c r="A65" s="759">
        <v>46055</v>
      </c>
      <c r="B65" s="760" t="s">
        <v>2687</v>
      </c>
      <c r="C65" s="761">
        <v>17011414</v>
      </c>
      <c r="D65" s="761" t="s">
        <v>2557</v>
      </c>
      <c r="E65" s="762" t="s">
        <v>2624</v>
      </c>
      <c r="F65" s="762">
        <v>500</v>
      </c>
      <c r="G65" s="761" t="s">
        <v>2387</v>
      </c>
      <c r="H65" s="762" t="s">
        <v>2381</v>
      </c>
      <c r="I65" s="761" t="s">
        <v>2321</v>
      </c>
      <c r="J65" s="778"/>
      <c r="K65" s="778"/>
      <c r="L65" s="778"/>
      <c r="M65" s="778"/>
      <c r="N65" s="778"/>
      <c r="O65" s="778"/>
      <c r="P65" s="762"/>
      <c r="Q65" s="778"/>
      <c r="R65" s="778">
        <v>500</v>
      </c>
      <c r="S65" s="778"/>
      <c r="T65" s="778"/>
      <c r="U65" s="778"/>
      <c r="V65" s="778"/>
      <c r="W65" s="778"/>
      <c r="X65" s="778"/>
      <c r="Y65" s="762"/>
      <c r="Z65" s="778"/>
      <c r="AA65" s="778"/>
      <c r="AB65" s="778"/>
      <c r="AC65" s="778"/>
      <c r="AD65" s="778"/>
      <c r="AE65" s="778"/>
      <c r="AF65" s="778"/>
      <c r="AG65" s="762"/>
      <c r="AH65" s="783" t="s">
        <v>2688</v>
      </c>
    </row>
    <row r="66" s="738" customFormat="1" ht="15" customHeight="1" spans="1:34">
      <c r="A66" s="759">
        <v>46059</v>
      </c>
      <c r="B66" s="760" t="s">
        <v>2689</v>
      </c>
      <c r="C66" s="761">
        <v>17011414</v>
      </c>
      <c r="D66" s="761" t="s">
        <v>2557</v>
      </c>
      <c r="E66" s="762" t="s">
        <v>2624</v>
      </c>
      <c r="F66" s="762">
        <v>3861</v>
      </c>
      <c r="G66" s="761" t="s">
        <v>2387</v>
      </c>
      <c r="H66" s="762" t="s">
        <v>2381</v>
      </c>
      <c r="I66" s="761" t="s">
        <v>2321</v>
      </c>
      <c r="J66" s="778"/>
      <c r="K66" s="778"/>
      <c r="L66" s="778"/>
      <c r="M66" s="778"/>
      <c r="N66" s="778"/>
      <c r="O66" s="778"/>
      <c r="P66" s="762"/>
      <c r="Q66" s="778"/>
      <c r="R66" s="778">
        <v>3861</v>
      </c>
      <c r="S66" s="778"/>
      <c r="T66" s="778"/>
      <c r="U66" s="778"/>
      <c r="V66" s="778"/>
      <c r="W66" s="778"/>
      <c r="X66" s="778"/>
      <c r="Y66" s="762"/>
      <c r="Z66" s="778"/>
      <c r="AA66" s="778"/>
      <c r="AB66" s="778"/>
      <c r="AC66" s="778"/>
      <c r="AD66" s="778"/>
      <c r="AE66" s="778"/>
      <c r="AF66" s="778"/>
      <c r="AG66" s="762"/>
      <c r="AH66" s="783" t="s">
        <v>2690</v>
      </c>
    </row>
    <row r="67" s="738" customFormat="1" ht="15" customHeight="1" spans="1:34">
      <c r="A67" s="759"/>
      <c r="B67" s="760"/>
      <c r="C67" s="761"/>
      <c r="D67" s="761"/>
      <c r="E67" s="762"/>
      <c r="F67" s="762"/>
      <c r="G67" s="761"/>
      <c r="H67" s="762"/>
      <c r="I67" s="761"/>
      <c r="J67" s="778"/>
      <c r="K67" s="778"/>
      <c r="L67" s="778"/>
      <c r="M67" s="778"/>
      <c r="N67" s="778"/>
      <c r="O67" s="778"/>
      <c r="P67" s="762"/>
      <c r="Q67" s="778"/>
      <c r="R67" s="778"/>
      <c r="S67" s="778"/>
      <c r="T67" s="778"/>
      <c r="U67" s="778"/>
      <c r="V67" s="778"/>
      <c r="W67" s="778"/>
      <c r="X67" s="778"/>
      <c r="Y67" s="762"/>
      <c r="Z67" s="778"/>
      <c r="AA67" s="778"/>
      <c r="AB67" s="778"/>
      <c r="AC67" s="778"/>
      <c r="AD67" s="778"/>
      <c r="AE67" s="778"/>
      <c r="AF67" s="778"/>
      <c r="AG67" s="762"/>
      <c r="AH67" s="783"/>
    </row>
    <row r="68" s="738" customFormat="1" ht="15" customHeight="1" spans="1:34">
      <c r="A68" s="759"/>
      <c r="B68" s="760"/>
      <c r="C68" s="761"/>
      <c r="D68" s="761"/>
      <c r="E68" s="762"/>
      <c r="F68" s="762"/>
      <c r="G68" s="761"/>
      <c r="H68" s="762"/>
      <c r="I68" s="761"/>
      <c r="J68" s="778"/>
      <c r="K68" s="778"/>
      <c r="L68" s="778"/>
      <c r="M68" s="778"/>
      <c r="N68" s="778"/>
      <c r="O68" s="778"/>
      <c r="P68" s="762"/>
      <c r="Q68" s="778"/>
      <c r="R68" s="778"/>
      <c r="S68" s="778"/>
      <c r="T68" s="778"/>
      <c r="U68" s="778"/>
      <c r="V68" s="778"/>
      <c r="W68" s="778"/>
      <c r="X68" s="778"/>
      <c r="Y68" s="762"/>
      <c r="Z68" s="778"/>
      <c r="AA68" s="778"/>
      <c r="AB68" s="778"/>
      <c r="AC68" s="778"/>
      <c r="AD68" s="778"/>
      <c r="AE68" s="778"/>
      <c r="AF68" s="778"/>
      <c r="AG68" s="762"/>
      <c r="AH68" s="783"/>
    </row>
    <row r="69" s="738" customFormat="1" ht="15" customHeight="1" spans="1:34">
      <c r="A69" s="759"/>
      <c r="B69" s="760"/>
      <c r="C69" s="761"/>
      <c r="D69" s="761"/>
      <c r="E69" s="762"/>
      <c r="F69" s="762"/>
      <c r="G69" s="761"/>
      <c r="H69" s="762"/>
      <c r="I69" s="761"/>
      <c r="J69" s="778"/>
      <c r="K69" s="778"/>
      <c r="L69" s="778"/>
      <c r="M69" s="778"/>
      <c r="N69" s="778"/>
      <c r="O69" s="778"/>
      <c r="P69" s="762"/>
      <c r="Q69" s="778"/>
      <c r="R69" s="778"/>
      <c r="S69" s="778"/>
      <c r="T69" s="778"/>
      <c r="U69" s="778"/>
      <c r="V69" s="778"/>
      <c r="W69" s="778"/>
      <c r="X69" s="778"/>
      <c r="Y69" s="762"/>
      <c r="Z69" s="778"/>
      <c r="AA69" s="778"/>
      <c r="AB69" s="778"/>
      <c r="AC69" s="778"/>
      <c r="AD69" s="778"/>
      <c r="AE69" s="778"/>
      <c r="AF69" s="778"/>
      <c r="AG69" s="762"/>
      <c r="AH69" s="783"/>
    </row>
    <row r="70" s="738" customFormat="1" ht="15" customHeight="1" spans="1:34">
      <c r="A70" s="759"/>
      <c r="B70" s="760"/>
      <c r="C70" s="761"/>
      <c r="D70" s="761"/>
      <c r="E70" s="762"/>
      <c r="F70" s="762"/>
      <c r="G70" s="761"/>
      <c r="H70" s="762"/>
      <c r="I70" s="761"/>
      <c r="J70" s="778"/>
      <c r="K70" s="778"/>
      <c r="L70" s="778"/>
      <c r="M70" s="778"/>
      <c r="N70" s="778"/>
      <c r="O70" s="778"/>
      <c r="P70" s="762"/>
      <c r="Q70" s="778"/>
      <c r="R70" s="778"/>
      <c r="S70" s="778"/>
      <c r="T70" s="778"/>
      <c r="U70" s="778"/>
      <c r="V70" s="778"/>
      <c r="W70" s="778"/>
      <c r="X70" s="778"/>
      <c r="Y70" s="762"/>
      <c r="Z70" s="778"/>
      <c r="AA70" s="778"/>
      <c r="AB70" s="778"/>
      <c r="AC70" s="778"/>
      <c r="AD70" s="778"/>
      <c r="AE70" s="778"/>
      <c r="AF70" s="778"/>
      <c r="AG70" s="762"/>
      <c r="AH70" s="783"/>
    </row>
    <row r="71" s="738" customFormat="1" ht="15" customHeight="1" spans="1:34">
      <c r="A71" s="759"/>
      <c r="B71" s="760"/>
      <c r="C71" s="761"/>
      <c r="D71" s="761"/>
      <c r="E71" s="762"/>
      <c r="F71" s="762"/>
      <c r="G71" s="761"/>
      <c r="H71" s="762"/>
      <c r="I71" s="761"/>
      <c r="J71" s="778"/>
      <c r="K71" s="778"/>
      <c r="L71" s="778"/>
      <c r="M71" s="778"/>
      <c r="N71" s="778"/>
      <c r="O71" s="778"/>
      <c r="P71" s="762"/>
      <c r="Q71" s="778"/>
      <c r="R71" s="778"/>
      <c r="S71" s="778"/>
      <c r="T71" s="778"/>
      <c r="U71" s="778"/>
      <c r="V71" s="778"/>
      <c r="W71" s="778"/>
      <c r="X71" s="778"/>
      <c r="Y71" s="762"/>
      <c r="Z71" s="778"/>
      <c r="AA71" s="778"/>
      <c r="AB71" s="778"/>
      <c r="AC71" s="778"/>
      <c r="AD71" s="778"/>
      <c r="AE71" s="778"/>
      <c r="AF71" s="778"/>
      <c r="AG71" s="762"/>
      <c r="AH71" s="783"/>
    </row>
    <row r="72" s="738" customFormat="1" ht="15" customHeight="1" spans="1:34">
      <c r="A72" s="759"/>
      <c r="B72" s="760"/>
      <c r="C72" s="761"/>
      <c r="D72" s="761"/>
      <c r="E72" s="762"/>
      <c r="F72" s="762"/>
      <c r="G72" s="761"/>
      <c r="H72" s="762"/>
      <c r="I72" s="761"/>
      <c r="J72" s="778"/>
      <c r="K72" s="778"/>
      <c r="L72" s="778"/>
      <c r="M72" s="778"/>
      <c r="N72" s="778"/>
      <c r="O72" s="778"/>
      <c r="P72" s="762"/>
      <c r="Q72" s="778"/>
      <c r="R72" s="778"/>
      <c r="S72" s="778"/>
      <c r="T72" s="778"/>
      <c r="U72" s="778"/>
      <c r="V72" s="778"/>
      <c r="W72" s="778"/>
      <c r="X72" s="778"/>
      <c r="Y72" s="762"/>
      <c r="Z72" s="778"/>
      <c r="AA72" s="778"/>
      <c r="AB72" s="778"/>
      <c r="AC72" s="778"/>
      <c r="AD72" s="778"/>
      <c r="AE72" s="778"/>
      <c r="AF72" s="778"/>
      <c r="AG72" s="762"/>
      <c r="AH72" s="783"/>
    </row>
    <row r="73" s="738" customFormat="1" ht="15" customHeight="1" spans="1:34">
      <c r="A73" s="759"/>
      <c r="B73" s="760"/>
      <c r="C73" s="761"/>
      <c r="D73" s="761"/>
      <c r="E73" s="762"/>
      <c r="F73" s="762"/>
      <c r="G73" s="761"/>
      <c r="H73" s="762"/>
      <c r="I73" s="761"/>
      <c r="J73" s="778"/>
      <c r="K73" s="778"/>
      <c r="L73" s="778"/>
      <c r="M73" s="778"/>
      <c r="N73" s="778"/>
      <c r="O73" s="778"/>
      <c r="P73" s="762"/>
      <c r="Q73" s="778"/>
      <c r="R73" s="778"/>
      <c r="S73" s="778"/>
      <c r="T73" s="778"/>
      <c r="U73" s="778"/>
      <c r="V73" s="778"/>
      <c r="W73" s="778"/>
      <c r="X73" s="778"/>
      <c r="Y73" s="762"/>
      <c r="Z73" s="778"/>
      <c r="AA73" s="778"/>
      <c r="AB73" s="778"/>
      <c r="AC73" s="778"/>
      <c r="AD73" s="778"/>
      <c r="AE73" s="778"/>
      <c r="AF73" s="778"/>
      <c r="AG73" s="762"/>
      <c r="AH73" s="783"/>
    </row>
    <row r="74" s="738" customFormat="1" ht="15" customHeight="1" spans="1:34">
      <c r="A74" s="759"/>
      <c r="B74" s="760"/>
      <c r="C74" s="761"/>
      <c r="D74" s="761"/>
      <c r="E74" s="762"/>
      <c r="F74" s="762"/>
      <c r="G74" s="761"/>
      <c r="H74" s="762"/>
      <c r="I74" s="761"/>
      <c r="J74" s="778"/>
      <c r="K74" s="778"/>
      <c r="L74" s="778"/>
      <c r="M74" s="778"/>
      <c r="N74" s="778"/>
      <c r="O74" s="778"/>
      <c r="P74" s="762"/>
      <c r="Q74" s="778"/>
      <c r="R74" s="778"/>
      <c r="S74" s="778"/>
      <c r="T74" s="778"/>
      <c r="U74" s="778"/>
      <c r="V74" s="778"/>
      <c r="W74" s="778"/>
      <c r="X74" s="778"/>
      <c r="Y74" s="762"/>
      <c r="Z74" s="778"/>
      <c r="AA74" s="778"/>
      <c r="AB74" s="778"/>
      <c r="AC74" s="778"/>
      <c r="AD74" s="778"/>
      <c r="AE74" s="778"/>
      <c r="AF74" s="778"/>
      <c r="AG74" s="762"/>
      <c r="AH74" s="783"/>
    </row>
    <row r="75" s="738" customFormat="1" ht="15" customHeight="1" spans="1:34">
      <c r="A75" s="759"/>
      <c r="B75" s="760"/>
      <c r="C75" s="761"/>
      <c r="D75" s="761"/>
      <c r="E75" s="762"/>
      <c r="F75" s="762"/>
      <c r="G75" s="761"/>
      <c r="H75" s="762"/>
      <c r="I75" s="761"/>
      <c r="J75" s="778"/>
      <c r="K75" s="778"/>
      <c r="L75" s="778"/>
      <c r="M75" s="778"/>
      <c r="N75" s="778"/>
      <c r="O75" s="778"/>
      <c r="P75" s="762"/>
      <c r="Q75" s="778"/>
      <c r="R75" s="778"/>
      <c r="S75" s="778"/>
      <c r="T75" s="778"/>
      <c r="U75" s="778"/>
      <c r="V75" s="778"/>
      <c r="W75" s="778"/>
      <c r="X75" s="778"/>
      <c r="Y75" s="762"/>
      <c r="Z75" s="778"/>
      <c r="AA75" s="778"/>
      <c r="AB75" s="778"/>
      <c r="AC75" s="778"/>
      <c r="AD75" s="778"/>
      <c r="AE75" s="778"/>
      <c r="AF75" s="778"/>
      <c r="AG75" s="762"/>
      <c r="AH75" s="783"/>
    </row>
    <row r="76" s="738" customFormat="1" ht="15" customHeight="1" spans="1:34">
      <c r="A76" s="759"/>
      <c r="B76" s="760"/>
      <c r="C76" s="761"/>
      <c r="D76" s="761"/>
      <c r="E76" s="762"/>
      <c r="F76" s="762"/>
      <c r="G76" s="761"/>
      <c r="H76" s="762"/>
      <c r="I76" s="761"/>
      <c r="J76" s="778"/>
      <c r="K76" s="778"/>
      <c r="L76" s="778"/>
      <c r="M76" s="778"/>
      <c r="N76" s="778"/>
      <c r="O76" s="778"/>
      <c r="P76" s="762"/>
      <c r="Q76" s="778"/>
      <c r="R76" s="778"/>
      <c r="S76" s="778"/>
      <c r="T76" s="778"/>
      <c r="U76" s="778"/>
      <c r="V76" s="778"/>
      <c r="W76" s="778"/>
      <c r="X76" s="778"/>
      <c r="Y76" s="762"/>
      <c r="Z76" s="778"/>
      <c r="AA76" s="778"/>
      <c r="AB76" s="778"/>
      <c r="AC76" s="778"/>
      <c r="AD76" s="778"/>
      <c r="AE76" s="778"/>
      <c r="AF76" s="778"/>
      <c r="AG76" s="762"/>
      <c r="AH76" s="783"/>
    </row>
    <row r="77" s="738" customFormat="1" ht="15" customHeight="1" spans="1:34">
      <c r="A77" s="759"/>
      <c r="B77" s="760"/>
      <c r="C77" s="761"/>
      <c r="D77" s="761"/>
      <c r="E77" s="762"/>
      <c r="F77" s="762"/>
      <c r="G77" s="761"/>
      <c r="H77" s="762"/>
      <c r="I77" s="761"/>
      <c r="J77" s="778"/>
      <c r="K77" s="778"/>
      <c r="L77" s="778"/>
      <c r="M77" s="778"/>
      <c r="N77" s="778"/>
      <c r="O77" s="778"/>
      <c r="P77" s="762"/>
      <c r="Q77" s="778"/>
      <c r="R77" s="778"/>
      <c r="S77" s="778"/>
      <c r="T77" s="778"/>
      <c r="U77" s="778"/>
      <c r="V77" s="778"/>
      <c r="W77" s="778"/>
      <c r="X77" s="778"/>
      <c r="Y77" s="762"/>
      <c r="Z77" s="778"/>
      <c r="AA77" s="778"/>
      <c r="AB77" s="778"/>
      <c r="AC77" s="778"/>
      <c r="AD77" s="778"/>
      <c r="AE77" s="778"/>
      <c r="AF77" s="778"/>
      <c r="AG77" s="762"/>
      <c r="AH77" s="783"/>
    </row>
    <row r="78" s="738" customFormat="1" ht="15" customHeight="1" spans="1:34">
      <c r="A78" s="759"/>
      <c r="B78" s="760"/>
      <c r="C78" s="761"/>
      <c r="D78" s="761"/>
      <c r="E78" s="762"/>
      <c r="F78" s="762"/>
      <c r="G78" s="761"/>
      <c r="H78" s="762"/>
      <c r="I78" s="761"/>
      <c r="J78" s="778"/>
      <c r="K78" s="778"/>
      <c r="L78" s="778"/>
      <c r="M78" s="778"/>
      <c r="N78" s="778"/>
      <c r="O78" s="778"/>
      <c r="P78" s="762"/>
      <c r="Q78" s="778"/>
      <c r="R78" s="778"/>
      <c r="S78" s="778"/>
      <c r="T78" s="778"/>
      <c r="U78" s="778"/>
      <c r="V78" s="778"/>
      <c r="W78" s="778"/>
      <c r="X78" s="778"/>
      <c r="Y78" s="762"/>
      <c r="Z78" s="778"/>
      <c r="AA78" s="778"/>
      <c r="AB78" s="778"/>
      <c r="AC78" s="778"/>
      <c r="AD78" s="778"/>
      <c r="AE78" s="778"/>
      <c r="AF78" s="778"/>
      <c r="AG78" s="762"/>
      <c r="AH78" s="783"/>
    </row>
    <row r="79" s="738" customFormat="1" ht="15" customHeight="1" spans="1:34">
      <c r="A79" s="759"/>
      <c r="B79" s="760"/>
      <c r="C79" s="761"/>
      <c r="D79" s="761"/>
      <c r="E79" s="762"/>
      <c r="F79" s="762"/>
      <c r="G79" s="761"/>
      <c r="H79" s="762"/>
      <c r="I79" s="761"/>
      <c r="J79" s="778"/>
      <c r="K79" s="778"/>
      <c r="L79" s="778"/>
      <c r="M79" s="778"/>
      <c r="N79" s="778"/>
      <c r="O79" s="778"/>
      <c r="P79" s="762"/>
      <c r="Q79" s="778"/>
      <c r="R79" s="778"/>
      <c r="S79" s="778"/>
      <c r="T79" s="778"/>
      <c r="U79" s="778"/>
      <c r="V79" s="778"/>
      <c r="W79" s="778"/>
      <c r="X79" s="778"/>
      <c r="Y79" s="762"/>
      <c r="Z79" s="778"/>
      <c r="AA79" s="778"/>
      <c r="AB79" s="778"/>
      <c r="AC79" s="778"/>
      <c r="AD79" s="778"/>
      <c r="AE79" s="778"/>
      <c r="AF79" s="778"/>
      <c r="AG79" s="762"/>
      <c r="AH79" s="783"/>
    </row>
    <row r="80" s="738" customFormat="1" ht="15" customHeight="1" spans="1:34">
      <c r="A80" s="759"/>
      <c r="B80" s="760"/>
      <c r="C80" s="761"/>
      <c r="D80" s="761"/>
      <c r="E80" s="762"/>
      <c r="F80" s="762"/>
      <c r="G80" s="761"/>
      <c r="H80" s="762"/>
      <c r="I80" s="761"/>
      <c r="J80" s="778"/>
      <c r="K80" s="778"/>
      <c r="L80" s="778"/>
      <c r="M80" s="778"/>
      <c r="N80" s="778"/>
      <c r="O80" s="778"/>
      <c r="P80" s="762"/>
      <c r="Q80" s="778"/>
      <c r="R80" s="778"/>
      <c r="S80" s="778"/>
      <c r="T80" s="778"/>
      <c r="U80" s="778"/>
      <c r="V80" s="778"/>
      <c r="W80" s="778"/>
      <c r="X80" s="778"/>
      <c r="Y80" s="762"/>
      <c r="Z80" s="778"/>
      <c r="AA80" s="778"/>
      <c r="AB80" s="778"/>
      <c r="AC80" s="778"/>
      <c r="AD80" s="778"/>
      <c r="AE80" s="778"/>
      <c r="AF80" s="778"/>
      <c r="AG80" s="762"/>
      <c r="AH80" s="783"/>
    </row>
    <row r="81" s="736" customFormat="1" spans="1:34">
      <c r="A81" s="763"/>
      <c r="B81" s="764"/>
      <c r="C81" s="764"/>
      <c r="D81" s="764"/>
      <c r="E81" s="765"/>
      <c r="F81" s="765"/>
      <c r="G81" s="766"/>
      <c r="H81" s="765"/>
      <c r="I81" s="766"/>
      <c r="J81" s="764"/>
      <c r="K81" s="764"/>
      <c r="L81" s="764"/>
      <c r="M81" s="764"/>
      <c r="N81" s="764"/>
      <c r="O81" s="764"/>
      <c r="P81" s="766"/>
      <c r="Q81" s="766"/>
      <c r="R81" s="766"/>
      <c r="S81" s="766"/>
      <c r="T81" s="766"/>
      <c r="U81" s="766"/>
      <c r="V81" s="766"/>
      <c r="W81" s="766"/>
      <c r="X81" s="766"/>
      <c r="Y81" s="766"/>
      <c r="Z81" s="766"/>
      <c r="AA81" s="766"/>
      <c r="AB81" s="766"/>
      <c r="AC81" s="766"/>
      <c r="AD81" s="766"/>
      <c r="AE81" s="766"/>
      <c r="AF81" s="766"/>
      <c r="AG81" s="764"/>
      <c r="AH81" s="784"/>
    </row>
    <row r="82" s="736" customFormat="1" spans="1:34">
      <c r="A82" s="767" t="s">
        <v>2343</v>
      </c>
      <c r="B82" s="768"/>
      <c r="C82" s="768"/>
      <c r="D82" s="768"/>
      <c r="E82" s="768"/>
      <c r="F82" s="768"/>
      <c r="G82" s="768"/>
      <c r="H82" s="769"/>
      <c r="I82" s="779"/>
      <c r="J82" s="780">
        <f>SUM(J3:J81)</f>
        <v>830000</v>
      </c>
      <c r="K82" s="780">
        <f>SUM(K3:K81)</f>
        <v>80000</v>
      </c>
      <c r="L82" s="780">
        <f>SUM(L36:L81)</f>
        <v>20000</v>
      </c>
      <c r="M82" s="780">
        <f t="shared" ref="M82:AA82" si="1">SUM(M3:M81)</f>
        <v>890000</v>
      </c>
      <c r="N82" s="780">
        <f t="shared" si="1"/>
        <v>5600</v>
      </c>
      <c r="O82" s="780">
        <f t="shared" si="1"/>
        <v>1500</v>
      </c>
      <c r="P82" s="780">
        <f t="shared" si="1"/>
        <v>16700</v>
      </c>
      <c r="Q82" s="780">
        <f t="shared" si="1"/>
        <v>2000</v>
      </c>
      <c r="R82" s="780">
        <f t="shared" si="1"/>
        <v>13939</v>
      </c>
      <c r="S82" s="780">
        <f t="shared" si="1"/>
        <v>0</v>
      </c>
      <c r="T82" s="780">
        <f t="shared" si="1"/>
        <v>0</v>
      </c>
      <c r="U82" s="780">
        <f t="shared" si="1"/>
        <v>0</v>
      </c>
      <c r="V82" s="780">
        <f t="shared" si="1"/>
        <v>0</v>
      </c>
      <c r="W82" s="780">
        <f t="shared" si="1"/>
        <v>0</v>
      </c>
      <c r="X82" s="780">
        <f t="shared" si="1"/>
        <v>0</v>
      </c>
      <c r="Y82" s="780">
        <f t="shared" si="1"/>
        <v>1931</v>
      </c>
      <c r="Z82" s="780">
        <f t="shared" si="1"/>
        <v>1029</v>
      </c>
      <c r="AA82" s="780">
        <f t="shared" si="1"/>
        <v>0</v>
      </c>
      <c r="AB82" s="780"/>
      <c r="AC82" s="780">
        <f>SUM(AC3:AC81)</f>
        <v>0</v>
      </c>
      <c r="AD82" s="780">
        <f>SUM(AD3:AD81)</f>
        <v>0</v>
      </c>
      <c r="AE82" s="780">
        <f>SUM(AE3:AE81)</f>
        <v>30000</v>
      </c>
      <c r="AF82" s="780">
        <f>SUM(AF3:AF81)</f>
        <v>15000</v>
      </c>
      <c r="AG82" s="780">
        <f>SUM(AG3:AG81)</f>
        <v>15000</v>
      </c>
      <c r="AH82" s="785"/>
    </row>
    <row r="83" s="736" customFormat="1" spans="1:34">
      <c r="A83" s="770"/>
      <c r="B83" s="771"/>
      <c r="C83" s="771"/>
      <c r="D83" s="771"/>
      <c r="E83" s="771"/>
      <c r="F83" s="771"/>
      <c r="G83" s="771"/>
      <c r="H83" s="772"/>
      <c r="I83" s="771"/>
      <c r="J83" s="781"/>
      <c r="K83" s="781"/>
      <c r="L83" s="781"/>
      <c r="M83" s="781"/>
      <c r="N83" s="781"/>
      <c r="O83" s="781"/>
      <c r="P83" s="781"/>
      <c r="Q83" s="781"/>
      <c r="R83" s="781"/>
      <c r="S83" s="781"/>
      <c r="T83" s="781"/>
      <c r="U83" s="781"/>
      <c r="V83" s="781"/>
      <c r="W83" s="781"/>
      <c r="X83" s="781"/>
      <c r="Y83" s="781"/>
      <c r="Z83" s="781"/>
      <c r="AA83" s="781"/>
      <c r="AB83" s="781"/>
      <c r="AC83" s="781"/>
      <c r="AD83" s="781"/>
      <c r="AE83" s="781"/>
      <c r="AF83" s="781"/>
      <c r="AG83" s="781"/>
      <c r="AH83" s="786"/>
    </row>
    <row r="84" s="736" customFormat="1" spans="1:34">
      <c r="A84" s="767" t="s">
        <v>2344</v>
      </c>
      <c r="B84" s="768"/>
      <c r="C84" s="768"/>
      <c r="D84" s="768"/>
      <c r="E84" s="768"/>
      <c r="F84" s="768"/>
      <c r="G84" s="768"/>
      <c r="H84" s="769"/>
      <c r="I84" s="779"/>
      <c r="J84" s="780">
        <f>'77770 S4 明细'!AJ285</f>
        <v>901197</v>
      </c>
      <c r="K84" s="780">
        <f>'77770 S4 明细'!AL285</f>
        <v>84478</v>
      </c>
      <c r="L84" s="780">
        <f>'77770 S4 明细'!AK285</f>
        <v>15432</v>
      </c>
      <c r="M84" s="780">
        <f>'77770 S4 明细'!AM285</f>
        <v>981821</v>
      </c>
      <c r="N84" s="780">
        <f>'77770 S4 明细'!AP285</f>
        <v>6464</v>
      </c>
      <c r="O84" s="780">
        <f>'77770 S4 明细'!AQ285</f>
        <v>1450</v>
      </c>
      <c r="P84" s="780">
        <f>'77770 S4 明细'!AR285</f>
        <v>14976</v>
      </c>
      <c r="Q84" s="780">
        <f>'77770 S4 明细'!AS285</f>
        <v>2373</v>
      </c>
      <c r="R84" s="780">
        <f>'77770 S4 明细'!AW285</f>
        <v>13939</v>
      </c>
      <c r="S84" s="780"/>
      <c r="T84" s="780"/>
      <c r="U84" s="780"/>
      <c r="V84" s="780"/>
      <c r="W84" s="780"/>
      <c r="X84" s="780"/>
      <c r="Y84" s="780">
        <f>'77770 S4 明细'!BG285+'77770 S4 明细'!BF285</f>
        <v>1931</v>
      </c>
      <c r="Z84" s="780">
        <f>'77770 S4 明细'!BG285</f>
        <v>931</v>
      </c>
      <c r="AA84" s="780">
        <f>'77770 S4 明细'!BE285</f>
        <v>0</v>
      </c>
      <c r="AB84" s="780"/>
      <c r="AC84" s="780"/>
      <c r="AD84" s="780"/>
      <c r="AE84" s="780">
        <f>'77770 S4 明细'!BH285</f>
        <v>18156</v>
      </c>
      <c r="AF84" s="780">
        <f>'77770 S4 明细'!BI285</f>
        <v>18156</v>
      </c>
      <c r="AG84" s="780">
        <f>'77770 S4 明细'!BJ285</f>
        <v>18156</v>
      </c>
      <c r="AH84" s="785"/>
    </row>
    <row r="85" s="736" customFormat="1" spans="1:34">
      <c r="A85" s="773"/>
      <c r="B85" s="773"/>
      <c r="C85" s="773"/>
      <c r="D85" s="773"/>
      <c r="E85" s="773"/>
      <c r="F85" s="773"/>
      <c r="G85" s="774"/>
      <c r="H85" s="774"/>
      <c r="I85" s="774"/>
      <c r="J85" s="781"/>
      <c r="K85" s="781"/>
      <c r="L85" s="781"/>
      <c r="M85" s="781"/>
      <c r="N85" s="781"/>
      <c r="O85" s="781"/>
      <c r="P85" s="781"/>
      <c r="Q85" s="781"/>
      <c r="R85" s="781"/>
      <c r="S85" s="781"/>
      <c r="T85" s="781"/>
      <c r="U85" s="781"/>
      <c r="V85" s="781"/>
      <c r="W85" s="781"/>
      <c r="X85" s="781"/>
      <c r="Y85" s="781"/>
      <c r="Z85" s="781"/>
      <c r="AA85" s="781"/>
      <c r="AB85" s="781"/>
      <c r="AC85" s="781"/>
      <c r="AD85" s="781"/>
      <c r="AE85" s="781"/>
      <c r="AF85" s="781"/>
      <c r="AG85" s="781"/>
      <c r="AH85" s="786"/>
    </row>
    <row r="86" s="736" customFormat="1" spans="1:34">
      <c r="A86" s="775" t="s">
        <v>30</v>
      </c>
      <c r="B86" s="776"/>
      <c r="C86" s="776"/>
      <c r="D86" s="776"/>
      <c r="E86" s="776"/>
      <c r="F86" s="776"/>
      <c r="G86" s="776"/>
      <c r="H86" s="777"/>
      <c r="I86" s="771"/>
      <c r="J86" s="782">
        <f>J82-J84</f>
        <v>-71197</v>
      </c>
      <c r="K86" s="782">
        <f>K82-K84</f>
        <v>-4478</v>
      </c>
      <c r="L86" s="782">
        <f>L82-L84</f>
        <v>4568</v>
      </c>
      <c r="M86" s="782">
        <f t="shared" ref="M86:AA86" si="2">M82-M84</f>
        <v>-91821</v>
      </c>
      <c r="N86" s="782">
        <f t="shared" si="2"/>
        <v>-864</v>
      </c>
      <c r="O86" s="782">
        <f t="shared" si="2"/>
        <v>50</v>
      </c>
      <c r="P86" s="782">
        <f t="shared" si="2"/>
        <v>1724</v>
      </c>
      <c r="Q86" s="782">
        <f t="shared" si="2"/>
        <v>-373</v>
      </c>
      <c r="R86" s="782">
        <f t="shared" si="2"/>
        <v>0</v>
      </c>
      <c r="S86" s="782">
        <f t="shared" si="2"/>
        <v>0</v>
      </c>
      <c r="T86" s="782">
        <f t="shared" si="2"/>
        <v>0</v>
      </c>
      <c r="U86" s="782">
        <f t="shared" si="2"/>
        <v>0</v>
      </c>
      <c r="V86" s="782">
        <f t="shared" si="2"/>
        <v>0</v>
      </c>
      <c r="W86" s="782">
        <f t="shared" si="2"/>
        <v>0</v>
      </c>
      <c r="X86" s="782">
        <f t="shared" si="2"/>
        <v>0</v>
      </c>
      <c r="Y86" s="782">
        <f t="shared" si="2"/>
        <v>0</v>
      </c>
      <c r="Z86" s="782">
        <f t="shared" si="2"/>
        <v>98</v>
      </c>
      <c r="AA86" s="782">
        <f t="shared" si="2"/>
        <v>0</v>
      </c>
      <c r="AB86" s="782"/>
      <c r="AC86" s="782">
        <f t="shared" ref="AC86:AK86" si="3">AC82-AC84</f>
        <v>0</v>
      </c>
      <c r="AD86" s="782">
        <f t="shared" si="3"/>
        <v>0</v>
      </c>
      <c r="AE86" s="782">
        <f t="shared" si="3"/>
        <v>11844</v>
      </c>
      <c r="AF86" s="782">
        <f t="shared" si="3"/>
        <v>-3156</v>
      </c>
      <c r="AG86" s="782">
        <f t="shared" si="3"/>
        <v>-3156</v>
      </c>
      <c r="AH86" s="749"/>
    </row>
    <row r="87" spans="25:25">
      <c r="Y87" s="782"/>
    </row>
  </sheetData>
  <autoFilter xmlns:etc="http://www.wps.cn/officeDocument/2017/etCustomData" ref="A2:AH66" etc:filterBottomFollowUsedRange="0">
    <extLst/>
  </autoFilter>
  <mergeCells count="3">
    <mergeCell ref="A82:H82"/>
    <mergeCell ref="A84:H84"/>
    <mergeCell ref="A86:H86"/>
  </mergeCells>
  <conditionalFormatting sqref="R86">
    <cfRule type="cellIs" dxfId="0" priority="4" operator="lessThan">
      <formula>0</formula>
    </cfRule>
  </conditionalFormatting>
  <conditionalFormatting sqref="Y86:Z86">
    <cfRule type="cellIs" dxfId="0" priority="1" operator="lessThan">
      <formula>0</formula>
    </cfRule>
  </conditionalFormatting>
  <conditionalFormatting sqref="AD86">
    <cfRule type="cellIs" dxfId="0" priority="6" operator="lessThan">
      <formula>0</formula>
    </cfRule>
  </conditionalFormatting>
  <conditionalFormatting sqref="Y87:Z87">
    <cfRule type="cellIs" dxfId="0" priority="2" operator="lessThan">
      <formula>0</formula>
    </cfRule>
  </conditionalFormatting>
  <conditionalFormatting sqref="A86 I86:Q86 S86:X86 AA86:AC86 AE86:AH86">
    <cfRule type="cellIs" dxfId="0" priority="7" operator="lessThan">
      <formula>0</formula>
    </cfRule>
  </conditionalFormatting>
  <pageMargins left="0.75" right="0.75" top="1" bottom="1" header="0.5" footer="0.5"/>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59"/>
  <sheetViews>
    <sheetView zoomScale="70" zoomScaleNormal="70" topLeftCell="G1" workbookViewId="0">
      <selection activeCell="H213" sqref="H213"/>
    </sheetView>
  </sheetViews>
  <sheetFormatPr defaultColWidth="8.89166666666667" defaultRowHeight="13.5"/>
  <cols>
    <col min="1" max="1" width="17.3083333333333" customWidth="1"/>
    <col min="2" max="2" width="12.4416666666667" customWidth="1"/>
    <col min="3" max="3" width="11" customWidth="1"/>
    <col min="4" max="4" width="16.8166666666667" customWidth="1"/>
    <col min="5" max="5" width="29.225" customWidth="1"/>
    <col min="6" max="7" width="27.4416666666667" customWidth="1"/>
    <col min="8" max="8" width="10.1083333333333" customWidth="1"/>
    <col min="10" max="10" width="9.66666666666667" customWidth="1"/>
    <col min="11" max="11" width="15.775" customWidth="1"/>
    <col min="12" max="12" width="14.4416666666667" customWidth="1"/>
    <col min="13" max="16" width="15.775" customWidth="1"/>
    <col min="17" max="17" width="16.025" customWidth="1"/>
    <col min="18" max="19" width="18.825" customWidth="1"/>
    <col min="20" max="20" width="23.8916666666667" customWidth="1"/>
    <col min="21" max="21" width="14.775" customWidth="1"/>
    <col min="22" max="22" width="49.2" customWidth="1"/>
  </cols>
  <sheetData>
    <row r="1" ht="14.25" spans="1:21">
      <c r="A1" s="605" t="s">
        <v>2307</v>
      </c>
      <c r="B1" s="606"/>
      <c r="C1" s="606"/>
      <c r="D1" s="606"/>
      <c r="E1" s="606"/>
      <c r="F1" s="606"/>
      <c r="G1" s="606"/>
      <c r="H1" s="607"/>
      <c r="I1" s="658"/>
      <c r="J1" s="658"/>
      <c r="K1" s="659">
        <v>44721</v>
      </c>
      <c r="L1" s="659">
        <v>44744</v>
      </c>
      <c r="M1" s="659">
        <v>44903</v>
      </c>
      <c r="N1" s="659">
        <v>45015</v>
      </c>
      <c r="O1" s="659">
        <v>45077</v>
      </c>
      <c r="P1" s="659">
        <v>45104</v>
      </c>
      <c r="Q1" s="659"/>
      <c r="R1" s="721" t="s">
        <v>2691</v>
      </c>
      <c r="S1" s="721"/>
      <c r="T1" s="721"/>
      <c r="U1" s="721"/>
    </row>
    <row r="2" ht="14.25" spans="1:21">
      <c r="A2" s="605" t="s">
        <v>2692</v>
      </c>
      <c r="B2" s="606"/>
      <c r="C2" s="606"/>
      <c r="D2" s="606"/>
      <c r="E2" s="606"/>
      <c r="F2" s="606"/>
      <c r="G2" s="606"/>
      <c r="H2" s="607"/>
      <c r="I2" s="658"/>
      <c r="J2" s="658"/>
      <c r="K2" s="660" t="s">
        <v>2693</v>
      </c>
      <c r="L2" s="659" t="s">
        <v>2694</v>
      </c>
      <c r="M2" s="660" t="s">
        <v>2695</v>
      </c>
      <c r="N2" s="660" t="s">
        <v>2696</v>
      </c>
      <c r="O2" s="660" t="s">
        <v>2697</v>
      </c>
      <c r="P2" s="660" t="s">
        <v>2698</v>
      </c>
      <c r="Q2" s="659"/>
      <c r="R2" s="721"/>
      <c r="S2" s="721"/>
      <c r="T2" s="721"/>
      <c r="U2" s="721"/>
    </row>
    <row r="3" ht="14.25" spans="1:22">
      <c r="A3" s="608" t="s">
        <v>2699</v>
      </c>
      <c r="B3" s="609"/>
      <c r="C3" s="609"/>
      <c r="D3" s="609"/>
      <c r="E3" s="609"/>
      <c r="F3" s="609"/>
      <c r="G3" s="609"/>
      <c r="H3" s="610"/>
      <c r="I3" s="663"/>
      <c r="J3" s="663"/>
      <c r="K3" s="664">
        <v>44808</v>
      </c>
      <c r="L3" s="664">
        <v>44810</v>
      </c>
      <c r="M3" s="664">
        <v>44598</v>
      </c>
      <c r="N3" s="664">
        <v>45051</v>
      </c>
      <c r="O3" s="664">
        <v>45077</v>
      </c>
      <c r="P3" s="664">
        <v>45154</v>
      </c>
      <c r="Q3" s="664"/>
      <c r="R3" s="722"/>
      <c r="S3" s="722"/>
      <c r="T3" s="722"/>
      <c r="U3" s="723"/>
      <c r="V3" t="s">
        <v>2700</v>
      </c>
    </row>
    <row r="4" ht="33" spans="1:22">
      <c r="A4" s="611"/>
      <c r="B4" s="612" t="s">
        <v>2701</v>
      </c>
      <c r="C4" s="612"/>
      <c r="D4" s="612"/>
      <c r="E4" s="612"/>
      <c r="F4" s="612"/>
      <c r="G4" s="612"/>
      <c r="H4" s="613" t="s">
        <v>2702</v>
      </c>
      <c r="I4" s="665" t="s">
        <v>2703</v>
      </c>
      <c r="J4" s="665" t="s">
        <v>2704</v>
      </c>
      <c r="K4" s="612" t="s">
        <v>2705</v>
      </c>
      <c r="L4" s="612" t="s">
        <v>2705</v>
      </c>
      <c r="M4" s="612" t="s">
        <v>2705</v>
      </c>
      <c r="N4" s="612" t="s">
        <v>2705</v>
      </c>
      <c r="O4" s="612" t="s">
        <v>2705</v>
      </c>
      <c r="P4" s="612" t="s">
        <v>2705</v>
      </c>
      <c r="Q4" s="612"/>
      <c r="R4" s="612" t="s">
        <v>2706</v>
      </c>
      <c r="S4" s="678" t="s">
        <v>2707</v>
      </c>
      <c r="T4" s="678" t="s">
        <v>2708</v>
      </c>
      <c r="U4" s="612" t="s">
        <v>2709</v>
      </c>
      <c r="V4" s="724">
        <v>28000</v>
      </c>
    </row>
    <row r="5" s="656" customFormat="1" ht="22.9" customHeight="1" spans="1:22">
      <c r="A5" s="619" t="s">
        <v>2710</v>
      </c>
      <c r="B5" s="620" t="s">
        <v>2711</v>
      </c>
      <c r="C5" s="621"/>
      <c r="D5" s="683"/>
      <c r="E5" s="684" t="s">
        <v>2712</v>
      </c>
      <c r="F5" s="685"/>
      <c r="G5" s="686"/>
      <c r="H5" s="687" t="s">
        <v>2713</v>
      </c>
      <c r="I5" s="713"/>
      <c r="J5" s="714"/>
      <c r="K5" s="673">
        <v>952800</v>
      </c>
      <c r="L5" s="673">
        <v>347520</v>
      </c>
      <c r="M5" s="673"/>
      <c r="N5" s="673"/>
      <c r="O5" s="673"/>
      <c r="P5" s="673"/>
      <c r="Q5" s="673"/>
      <c r="R5" s="725">
        <f t="shared" ref="R5:R56" si="0">SUM(K5:Q5)</f>
        <v>1300320</v>
      </c>
      <c r="S5" s="725">
        <v>2265120</v>
      </c>
      <c r="T5" s="726">
        <v>2311008</v>
      </c>
      <c r="U5" s="727">
        <f>S5-T5</f>
        <v>-45888</v>
      </c>
      <c r="V5" s="728">
        <f>U5+V4</f>
        <v>-17888</v>
      </c>
    </row>
    <row r="6" s="656" customFormat="1" ht="19" customHeight="1" spans="1:22">
      <c r="A6" s="688" t="s">
        <v>2714</v>
      </c>
      <c r="B6" s="689" t="s">
        <v>2715</v>
      </c>
      <c r="C6" s="690" t="s">
        <v>2716</v>
      </c>
      <c r="D6" s="691"/>
      <c r="E6" s="692" t="s">
        <v>2717</v>
      </c>
      <c r="F6" s="691" t="s">
        <v>2718</v>
      </c>
      <c r="G6" s="691" t="s">
        <v>2719</v>
      </c>
      <c r="H6" s="693"/>
      <c r="I6" s="715"/>
      <c r="J6" s="716">
        <v>77425</v>
      </c>
      <c r="K6" s="717"/>
      <c r="L6" s="717"/>
      <c r="M6" s="717">
        <v>30000</v>
      </c>
      <c r="N6" s="717">
        <v>20000</v>
      </c>
      <c r="O6" s="717">
        <v>40000</v>
      </c>
      <c r="P6" s="717">
        <v>32674</v>
      </c>
      <c r="Q6" s="717"/>
      <c r="R6" s="725">
        <f>M6+N6+O6+P6</f>
        <v>122674</v>
      </c>
      <c r="S6" s="725">
        <f>R6</f>
        <v>122674</v>
      </c>
      <c r="T6" s="726">
        <f>'77425明细 '!AI20+'77425明细 '!AJ20+118164</f>
        <v>119908</v>
      </c>
      <c r="U6" s="727">
        <f>S6-T6-2726</f>
        <v>40</v>
      </c>
      <c r="V6" s="729"/>
    </row>
    <row r="7" ht="18.75" spans="1:22">
      <c r="A7" s="688"/>
      <c r="B7" s="620" t="s">
        <v>2181</v>
      </c>
      <c r="C7" s="621" t="s">
        <v>2720</v>
      </c>
      <c r="D7" s="621" t="s">
        <v>2720</v>
      </c>
      <c r="E7" s="694" t="s">
        <v>2721</v>
      </c>
      <c r="F7" s="695" t="s">
        <v>2722</v>
      </c>
      <c r="G7" s="695" t="s">
        <v>2723</v>
      </c>
      <c r="H7" s="696"/>
      <c r="I7" s="708"/>
      <c r="J7" s="709"/>
      <c r="K7" s="624">
        <v>20800</v>
      </c>
      <c r="L7" s="624">
        <v>7580</v>
      </c>
      <c r="M7" s="624"/>
      <c r="N7" s="624"/>
      <c r="O7" s="624"/>
      <c r="P7" s="624"/>
      <c r="Q7" s="624"/>
      <c r="R7" s="725">
        <f t="shared" si="0"/>
        <v>28380</v>
      </c>
      <c r="S7" s="725">
        <v>46170</v>
      </c>
      <c r="T7" s="624">
        <v>50438.6666666667</v>
      </c>
      <c r="U7" s="624">
        <f t="shared" ref="U5:U50" si="1">S7-T7</f>
        <v>-4268.6666666667</v>
      </c>
      <c r="V7" s="730"/>
    </row>
    <row r="8" ht="18.75" spans="1:22">
      <c r="A8" s="688"/>
      <c r="B8" s="620" t="s">
        <v>2185</v>
      </c>
      <c r="C8" s="621" t="s">
        <v>2720</v>
      </c>
      <c r="D8" s="621" t="s">
        <v>2720</v>
      </c>
      <c r="E8" s="694" t="s">
        <v>2721</v>
      </c>
      <c r="F8" s="695" t="s">
        <v>2724</v>
      </c>
      <c r="G8" s="695" t="s">
        <v>2725</v>
      </c>
      <c r="H8" s="696"/>
      <c r="I8" s="708"/>
      <c r="J8" s="709"/>
      <c r="K8" s="624">
        <v>20800</v>
      </c>
      <c r="L8" s="624">
        <v>7580</v>
      </c>
      <c r="M8" s="624"/>
      <c r="N8" s="624"/>
      <c r="O8" s="624"/>
      <c r="P8" s="624"/>
      <c r="Q8" s="624"/>
      <c r="R8" s="725">
        <f t="shared" si="0"/>
        <v>28380</v>
      </c>
      <c r="S8" s="725">
        <v>46170</v>
      </c>
      <c r="T8" s="624">
        <v>50438.6666666667</v>
      </c>
      <c r="U8" s="624">
        <f t="shared" si="1"/>
        <v>-4268.6666666667</v>
      </c>
      <c r="V8" s="730"/>
    </row>
    <row r="9" ht="18.75" spans="1:22">
      <c r="A9" s="688"/>
      <c r="B9" s="620" t="s">
        <v>2189</v>
      </c>
      <c r="C9" s="621" t="s">
        <v>2726</v>
      </c>
      <c r="D9" s="621" t="s">
        <v>2726</v>
      </c>
      <c r="E9" s="694" t="s">
        <v>2727</v>
      </c>
      <c r="F9" s="695" t="s">
        <v>2728</v>
      </c>
      <c r="G9" s="695" t="s">
        <v>2729</v>
      </c>
      <c r="H9" s="696"/>
      <c r="I9" s="708"/>
      <c r="J9" s="709"/>
      <c r="K9" s="624">
        <v>20800</v>
      </c>
      <c r="L9" s="624">
        <v>7580</v>
      </c>
      <c r="M9" s="624"/>
      <c r="N9" s="624"/>
      <c r="O9" s="624"/>
      <c r="P9" s="624"/>
      <c r="Q9" s="624"/>
      <c r="R9" s="725">
        <f t="shared" si="0"/>
        <v>28380</v>
      </c>
      <c r="S9" s="725">
        <v>47670</v>
      </c>
      <c r="T9" s="624">
        <v>50438.6666666667</v>
      </c>
      <c r="U9" s="624">
        <f t="shared" si="1"/>
        <v>-2768.6666666667</v>
      </c>
      <c r="V9" s="730"/>
    </row>
    <row r="10" ht="18.75" spans="1:22">
      <c r="A10" s="688"/>
      <c r="B10" s="620" t="s">
        <v>2193</v>
      </c>
      <c r="C10" s="621" t="s">
        <v>2726</v>
      </c>
      <c r="D10" s="621" t="s">
        <v>2726</v>
      </c>
      <c r="E10" s="694" t="s">
        <v>2727</v>
      </c>
      <c r="F10" s="695" t="s">
        <v>2730</v>
      </c>
      <c r="G10" s="695" t="s">
        <v>2731</v>
      </c>
      <c r="H10" s="696"/>
      <c r="I10" s="708"/>
      <c r="J10" s="709"/>
      <c r="K10" s="624">
        <v>20800</v>
      </c>
      <c r="L10" s="624">
        <v>7580</v>
      </c>
      <c r="M10" s="624"/>
      <c r="N10" s="624"/>
      <c r="O10" s="624"/>
      <c r="P10" s="624"/>
      <c r="Q10" s="624"/>
      <c r="R10" s="725">
        <f t="shared" si="0"/>
        <v>28380</v>
      </c>
      <c r="S10" s="725">
        <v>47670</v>
      </c>
      <c r="T10" s="624">
        <v>50438.6666666667</v>
      </c>
      <c r="U10" s="624">
        <f t="shared" si="1"/>
        <v>-2768.6666666667</v>
      </c>
      <c r="V10" s="730"/>
    </row>
    <row r="11" ht="18.75" spans="1:22">
      <c r="A11" s="688"/>
      <c r="B11" s="620" t="s">
        <v>2197</v>
      </c>
      <c r="C11" s="621" t="s">
        <v>2732</v>
      </c>
      <c r="D11" s="621" t="s">
        <v>2732</v>
      </c>
      <c r="E11" s="694" t="s">
        <v>2733</v>
      </c>
      <c r="F11" s="695" t="s">
        <v>2724</v>
      </c>
      <c r="G11" s="695" t="s">
        <v>2734</v>
      </c>
      <c r="H11" s="696"/>
      <c r="I11" s="708"/>
      <c r="J11" s="709"/>
      <c r="K11" s="624">
        <v>20800</v>
      </c>
      <c r="L11" s="624">
        <v>7580</v>
      </c>
      <c r="M11" s="624"/>
      <c r="N11" s="624"/>
      <c r="O11" s="624"/>
      <c r="P11" s="624"/>
      <c r="Q11" s="624"/>
      <c r="R11" s="725">
        <f t="shared" si="0"/>
        <v>28380</v>
      </c>
      <c r="S11" s="725">
        <v>47670</v>
      </c>
      <c r="T11" s="624">
        <v>50438.6666666667</v>
      </c>
      <c r="U11" s="624">
        <f t="shared" si="1"/>
        <v>-2768.6666666667</v>
      </c>
      <c r="V11" s="730"/>
    </row>
    <row r="12" ht="18" customHeight="1" spans="1:22">
      <c r="A12" s="688"/>
      <c r="B12" s="620" t="s">
        <v>2200</v>
      </c>
      <c r="C12" s="621" t="s">
        <v>2732</v>
      </c>
      <c r="D12" s="621" t="s">
        <v>2732</v>
      </c>
      <c r="E12" s="694" t="s">
        <v>2733</v>
      </c>
      <c r="F12" s="695" t="s">
        <v>2722</v>
      </c>
      <c r="G12" s="695" t="s">
        <v>2735</v>
      </c>
      <c r="H12" s="696"/>
      <c r="I12" s="708"/>
      <c r="J12" s="709"/>
      <c r="K12" s="624">
        <v>20800</v>
      </c>
      <c r="L12" s="624">
        <v>7580</v>
      </c>
      <c r="M12" s="624"/>
      <c r="N12" s="624"/>
      <c r="O12" s="624"/>
      <c r="P12" s="624"/>
      <c r="Q12" s="624"/>
      <c r="R12" s="725">
        <f t="shared" si="0"/>
        <v>28380</v>
      </c>
      <c r="S12" s="725">
        <v>47670</v>
      </c>
      <c r="T12" s="624">
        <v>50438.6666666667</v>
      </c>
      <c r="U12" s="624">
        <f t="shared" si="1"/>
        <v>-2768.6666666667</v>
      </c>
      <c r="V12" s="730"/>
    </row>
    <row r="13" ht="18" customHeight="1" spans="1:22">
      <c r="A13" s="688"/>
      <c r="B13" s="620" t="s">
        <v>2204</v>
      </c>
      <c r="C13" s="621" t="s">
        <v>2736</v>
      </c>
      <c r="D13" s="621" t="s">
        <v>2736</v>
      </c>
      <c r="E13" s="694" t="s">
        <v>2737</v>
      </c>
      <c r="F13" s="695" t="s">
        <v>2738</v>
      </c>
      <c r="G13" s="695" t="s">
        <v>2739</v>
      </c>
      <c r="H13" s="696"/>
      <c r="I13" s="708"/>
      <c r="J13" s="709"/>
      <c r="K13" s="624">
        <v>20800</v>
      </c>
      <c r="L13" s="624">
        <v>7580</v>
      </c>
      <c r="M13" s="624"/>
      <c r="N13" s="624"/>
      <c r="O13" s="624"/>
      <c r="P13" s="624"/>
      <c r="Q13" s="624"/>
      <c r="R13" s="725">
        <f t="shared" si="0"/>
        <v>28380</v>
      </c>
      <c r="S13" s="725">
        <v>47670</v>
      </c>
      <c r="T13" s="624">
        <v>50438.6666666667</v>
      </c>
      <c r="U13" s="624">
        <f t="shared" si="1"/>
        <v>-2768.6666666667</v>
      </c>
      <c r="V13" s="731"/>
    </row>
    <row r="14" ht="18" customHeight="1" spans="1:22">
      <c r="A14" s="688"/>
      <c r="B14" s="620" t="s">
        <v>2208</v>
      </c>
      <c r="C14" s="621" t="s">
        <v>2736</v>
      </c>
      <c r="D14" s="621" t="s">
        <v>2736</v>
      </c>
      <c r="E14" s="694" t="s">
        <v>2737</v>
      </c>
      <c r="F14" s="695" t="s">
        <v>2740</v>
      </c>
      <c r="G14" s="695" t="s">
        <v>2741</v>
      </c>
      <c r="H14" s="696"/>
      <c r="I14" s="708"/>
      <c r="J14" s="709"/>
      <c r="K14" s="624">
        <v>20800</v>
      </c>
      <c r="L14" s="624">
        <v>7580</v>
      </c>
      <c r="M14" s="624"/>
      <c r="N14" s="624"/>
      <c r="O14" s="624"/>
      <c r="P14" s="624"/>
      <c r="Q14" s="624"/>
      <c r="R14" s="725">
        <f t="shared" si="0"/>
        <v>28380</v>
      </c>
      <c r="S14" s="725">
        <v>47670</v>
      </c>
      <c r="T14" s="624">
        <v>50438.6666666667</v>
      </c>
      <c r="U14" s="624">
        <f t="shared" si="1"/>
        <v>-2768.6666666667</v>
      </c>
      <c r="V14" s="731"/>
    </row>
    <row r="15" ht="18" customHeight="1" spans="1:22">
      <c r="A15" s="688"/>
      <c r="B15" s="620" t="s">
        <v>2212</v>
      </c>
      <c r="C15" s="621" t="s">
        <v>2742</v>
      </c>
      <c r="D15" s="621" t="s">
        <v>2742</v>
      </c>
      <c r="E15" s="694" t="s">
        <v>2743</v>
      </c>
      <c r="F15" s="695" t="s">
        <v>2744</v>
      </c>
      <c r="G15" s="695" t="s">
        <v>2745</v>
      </c>
      <c r="H15" s="696"/>
      <c r="I15" s="708"/>
      <c r="J15" s="709"/>
      <c r="K15" s="624">
        <v>20800</v>
      </c>
      <c r="L15" s="624">
        <v>7580</v>
      </c>
      <c r="M15" s="624"/>
      <c r="N15" s="624"/>
      <c r="O15" s="624"/>
      <c r="P15" s="624"/>
      <c r="Q15" s="624"/>
      <c r="R15" s="725">
        <f t="shared" si="0"/>
        <v>28380</v>
      </c>
      <c r="S15" s="725">
        <v>46170</v>
      </c>
      <c r="T15" s="624">
        <v>50438.6666666667</v>
      </c>
      <c r="U15" s="624">
        <f t="shared" si="1"/>
        <v>-4268.6666666667</v>
      </c>
      <c r="V15" s="730"/>
    </row>
    <row r="16" ht="18" customHeight="1" spans="1:22">
      <c r="A16" s="688"/>
      <c r="B16" s="620" t="s">
        <v>2216</v>
      </c>
      <c r="C16" s="621" t="s">
        <v>2742</v>
      </c>
      <c r="D16" s="621" t="s">
        <v>2742</v>
      </c>
      <c r="E16" s="694" t="s">
        <v>2743</v>
      </c>
      <c r="F16" s="695" t="s">
        <v>2739</v>
      </c>
      <c r="G16" s="695" t="s">
        <v>2746</v>
      </c>
      <c r="H16" s="696"/>
      <c r="I16" s="708"/>
      <c r="J16" s="709"/>
      <c r="K16" s="624">
        <v>20800</v>
      </c>
      <c r="L16" s="624">
        <v>7580</v>
      </c>
      <c r="M16" s="624"/>
      <c r="N16" s="624"/>
      <c r="O16" s="624"/>
      <c r="P16" s="624"/>
      <c r="Q16" s="624"/>
      <c r="R16" s="725">
        <f t="shared" si="0"/>
        <v>28380</v>
      </c>
      <c r="S16" s="725">
        <v>46170</v>
      </c>
      <c r="T16" s="624">
        <v>50438.6666666667</v>
      </c>
      <c r="U16" s="624">
        <f t="shared" si="1"/>
        <v>-4268.6666666667</v>
      </c>
      <c r="V16" s="730"/>
    </row>
    <row r="17" ht="18" customHeight="1" spans="1:22">
      <c r="A17" s="688"/>
      <c r="B17" s="620" t="s">
        <v>2219</v>
      </c>
      <c r="C17" s="621" t="s">
        <v>2747</v>
      </c>
      <c r="D17" s="621" t="s">
        <v>2747</v>
      </c>
      <c r="E17" s="694" t="s">
        <v>2748</v>
      </c>
      <c r="F17" s="695" t="s">
        <v>2746</v>
      </c>
      <c r="G17" s="695" t="s">
        <v>2739</v>
      </c>
      <c r="H17" s="696"/>
      <c r="I17" s="708"/>
      <c r="J17" s="709"/>
      <c r="K17" s="624">
        <v>20800</v>
      </c>
      <c r="L17" s="624">
        <v>7580</v>
      </c>
      <c r="M17" s="624"/>
      <c r="N17" s="624"/>
      <c r="O17" s="624"/>
      <c r="P17" s="624"/>
      <c r="Q17" s="624"/>
      <c r="R17" s="725">
        <f t="shared" si="0"/>
        <v>28380</v>
      </c>
      <c r="S17" s="725">
        <v>47145</v>
      </c>
      <c r="T17" s="624">
        <v>50438.6666666667</v>
      </c>
      <c r="U17" s="624">
        <f t="shared" si="1"/>
        <v>-3293.6666666667</v>
      </c>
      <c r="V17" s="730"/>
    </row>
    <row r="18" ht="18" customHeight="1" spans="1:22">
      <c r="A18" s="688"/>
      <c r="B18" s="620" t="s">
        <v>2223</v>
      </c>
      <c r="C18" s="621" t="s">
        <v>2747</v>
      </c>
      <c r="D18" s="621" t="s">
        <v>2747</v>
      </c>
      <c r="E18" s="694" t="s">
        <v>2748</v>
      </c>
      <c r="F18" s="695" t="s">
        <v>2749</v>
      </c>
      <c r="G18" s="695" t="s">
        <v>2750</v>
      </c>
      <c r="H18" s="696"/>
      <c r="I18" s="708"/>
      <c r="J18" s="709"/>
      <c r="K18" s="624">
        <v>20800</v>
      </c>
      <c r="L18" s="624">
        <v>7580</v>
      </c>
      <c r="M18" s="624"/>
      <c r="N18" s="624"/>
      <c r="O18" s="624"/>
      <c r="P18" s="624"/>
      <c r="Q18" s="624"/>
      <c r="R18" s="725">
        <f t="shared" si="0"/>
        <v>28380</v>
      </c>
      <c r="S18" s="725">
        <v>47145</v>
      </c>
      <c r="T18" s="624">
        <v>50438.6666666667</v>
      </c>
      <c r="U18" s="624">
        <f t="shared" si="1"/>
        <v>-3293.6666666667</v>
      </c>
      <c r="V18" s="730"/>
    </row>
    <row r="19" ht="18" customHeight="1" spans="1:22">
      <c r="A19" s="688"/>
      <c r="B19" s="620" t="s">
        <v>2227</v>
      </c>
      <c r="C19" s="621" t="s">
        <v>2751</v>
      </c>
      <c r="D19" s="621" t="s">
        <v>2751</v>
      </c>
      <c r="E19" s="694" t="s">
        <v>2752</v>
      </c>
      <c r="F19" s="695" t="s">
        <v>2731</v>
      </c>
      <c r="G19" s="695" t="s">
        <v>2740</v>
      </c>
      <c r="H19" s="696"/>
      <c r="I19" s="708"/>
      <c r="J19" s="709"/>
      <c r="K19" s="624">
        <v>20800</v>
      </c>
      <c r="L19" s="624">
        <v>7580</v>
      </c>
      <c r="M19" s="624"/>
      <c r="N19" s="624"/>
      <c r="O19" s="624"/>
      <c r="P19" s="624"/>
      <c r="Q19" s="624"/>
      <c r="R19" s="725">
        <f t="shared" si="0"/>
        <v>28380</v>
      </c>
      <c r="S19" s="725">
        <v>47895</v>
      </c>
      <c r="T19" s="624">
        <v>50438.6666666667</v>
      </c>
      <c r="U19" s="624">
        <f t="shared" si="1"/>
        <v>-2543.6666666667</v>
      </c>
      <c r="V19" s="730"/>
    </row>
    <row r="20" ht="18" customHeight="1" spans="1:22">
      <c r="A20" s="688"/>
      <c r="B20" s="620" t="s">
        <v>2231</v>
      </c>
      <c r="C20" s="621" t="s">
        <v>2751</v>
      </c>
      <c r="D20" s="621" t="s">
        <v>2751</v>
      </c>
      <c r="E20" s="694" t="s">
        <v>2752</v>
      </c>
      <c r="F20" s="695" t="s">
        <v>2735</v>
      </c>
      <c r="G20" s="695" t="s">
        <v>2753</v>
      </c>
      <c r="H20" s="696"/>
      <c r="I20" s="708"/>
      <c r="J20" s="709"/>
      <c r="K20" s="624">
        <v>20800</v>
      </c>
      <c r="L20" s="624">
        <v>7580</v>
      </c>
      <c r="M20" s="624"/>
      <c r="N20" s="624"/>
      <c r="O20" s="624"/>
      <c r="P20" s="624"/>
      <c r="Q20" s="624"/>
      <c r="R20" s="725">
        <f t="shared" si="0"/>
        <v>28380</v>
      </c>
      <c r="S20" s="725">
        <v>47895</v>
      </c>
      <c r="T20" s="624">
        <v>50438.6666666667</v>
      </c>
      <c r="U20" s="624">
        <f t="shared" si="1"/>
        <v>-2543.6666666667</v>
      </c>
      <c r="V20" s="730"/>
    </row>
    <row r="21" ht="18" customHeight="1" spans="1:22">
      <c r="A21" s="688"/>
      <c r="B21" s="620" t="s">
        <v>2234</v>
      </c>
      <c r="C21" s="621" t="s">
        <v>2754</v>
      </c>
      <c r="D21" s="621" t="s">
        <v>2754</v>
      </c>
      <c r="E21" s="694" t="s">
        <v>2755</v>
      </c>
      <c r="F21" s="695" t="s">
        <v>2756</v>
      </c>
      <c r="G21" s="695" t="s">
        <v>2757</v>
      </c>
      <c r="H21" s="696"/>
      <c r="I21" s="708"/>
      <c r="J21" s="709"/>
      <c r="K21" s="624">
        <v>20800</v>
      </c>
      <c r="L21" s="624">
        <v>7580</v>
      </c>
      <c r="M21" s="624"/>
      <c r="N21" s="624"/>
      <c r="O21" s="624"/>
      <c r="P21" s="624"/>
      <c r="Q21" s="624"/>
      <c r="R21" s="725">
        <f t="shared" si="0"/>
        <v>28380</v>
      </c>
      <c r="S21" s="725">
        <v>48420</v>
      </c>
      <c r="T21" s="624">
        <v>50438.6666666667</v>
      </c>
      <c r="U21" s="624">
        <f t="shared" si="1"/>
        <v>-2018.6666666667</v>
      </c>
      <c r="V21" s="730"/>
    </row>
    <row r="22" ht="18" customHeight="1" spans="1:22">
      <c r="A22" s="688"/>
      <c r="B22" s="620" t="s">
        <v>2238</v>
      </c>
      <c r="C22" s="621" t="s">
        <v>2754</v>
      </c>
      <c r="D22" s="621" t="s">
        <v>2754</v>
      </c>
      <c r="E22" s="694" t="s">
        <v>2755</v>
      </c>
      <c r="F22" s="695" t="s">
        <v>2729</v>
      </c>
      <c r="G22" s="695" t="s">
        <v>2738</v>
      </c>
      <c r="H22" s="696"/>
      <c r="I22" s="708"/>
      <c r="J22" s="709"/>
      <c r="K22" s="624">
        <v>20800</v>
      </c>
      <c r="L22" s="624">
        <v>7580</v>
      </c>
      <c r="M22" s="624"/>
      <c r="N22" s="624"/>
      <c r="O22" s="624"/>
      <c r="P22" s="624"/>
      <c r="Q22" s="624"/>
      <c r="R22" s="725">
        <f t="shared" si="0"/>
        <v>28380</v>
      </c>
      <c r="S22" s="725">
        <v>48420</v>
      </c>
      <c r="T22" s="624">
        <v>50438.6666666667</v>
      </c>
      <c r="U22" s="624">
        <f t="shared" si="1"/>
        <v>-2018.6666666667</v>
      </c>
      <c r="V22" s="730"/>
    </row>
    <row r="23" ht="18" customHeight="1" spans="1:22">
      <c r="A23" s="688"/>
      <c r="B23" s="620" t="s">
        <v>2242</v>
      </c>
      <c r="C23" s="621" t="s">
        <v>2758</v>
      </c>
      <c r="D23" s="621" t="s">
        <v>2758</v>
      </c>
      <c r="E23" s="694" t="s">
        <v>2759</v>
      </c>
      <c r="F23" s="695" t="s">
        <v>2760</v>
      </c>
      <c r="G23" s="695" t="s">
        <v>2761</v>
      </c>
      <c r="H23" s="696"/>
      <c r="I23" s="708"/>
      <c r="J23" s="709"/>
      <c r="K23" s="624">
        <v>20800</v>
      </c>
      <c r="L23" s="624">
        <v>7580</v>
      </c>
      <c r="M23" s="624"/>
      <c r="N23" s="624"/>
      <c r="O23" s="624"/>
      <c r="P23" s="624"/>
      <c r="Q23" s="624"/>
      <c r="R23" s="725">
        <f t="shared" si="0"/>
        <v>28380</v>
      </c>
      <c r="S23" s="725">
        <v>48420</v>
      </c>
      <c r="T23" s="624">
        <v>50438.6666666667</v>
      </c>
      <c r="U23" s="624">
        <f t="shared" si="1"/>
        <v>-2018.6666666667</v>
      </c>
      <c r="V23" s="730"/>
    </row>
    <row r="24" ht="18" customHeight="1" spans="1:22">
      <c r="A24" s="688"/>
      <c r="B24" s="620" t="s">
        <v>2246</v>
      </c>
      <c r="C24" s="621" t="s">
        <v>2758</v>
      </c>
      <c r="D24" s="621" t="s">
        <v>2758</v>
      </c>
      <c r="E24" s="694" t="s">
        <v>2759</v>
      </c>
      <c r="F24" s="695" t="s">
        <v>2739</v>
      </c>
      <c r="G24" s="695" t="s">
        <v>2723</v>
      </c>
      <c r="H24" s="696"/>
      <c r="I24" s="708"/>
      <c r="J24" s="709"/>
      <c r="K24" s="624">
        <v>20800</v>
      </c>
      <c r="L24" s="624">
        <v>7580</v>
      </c>
      <c r="M24" s="624"/>
      <c r="N24" s="624"/>
      <c r="O24" s="624"/>
      <c r="P24" s="624"/>
      <c r="Q24" s="624"/>
      <c r="R24" s="725">
        <f t="shared" si="0"/>
        <v>28380</v>
      </c>
      <c r="S24" s="725">
        <v>48420</v>
      </c>
      <c r="T24" s="624">
        <v>50438.6666666667</v>
      </c>
      <c r="U24" s="624">
        <f t="shared" si="1"/>
        <v>-2018.6666666667</v>
      </c>
      <c r="V24" s="730"/>
    </row>
    <row r="25" ht="18" customHeight="1" spans="1:22">
      <c r="A25" s="688"/>
      <c r="B25" s="620" t="s">
        <v>2250</v>
      </c>
      <c r="C25" s="621" t="s">
        <v>2762</v>
      </c>
      <c r="D25" s="621" t="s">
        <v>2762</v>
      </c>
      <c r="E25" s="694" t="s">
        <v>2725</v>
      </c>
      <c r="F25" s="695" t="s">
        <v>2763</v>
      </c>
      <c r="G25" s="695" t="s">
        <v>2764</v>
      </c>
      <c r="H25" s="696"/>
      <c r="I25" s="708"/>
      <c r="J25" s="709"/>
      <c r="K25" s="624">
        <v>20800</v>
      </c>
      <c r="L25" s="624">
        <v>7580</v>
      </c>
      <c r="M25" s="624"/>
      <c r="N25" s="624"/>
      <c r="O25" s="624"/>
      <c r="P25" s="624"/>
      <c r="Q25" s="624"/>
      <c r="R25" s="725">
        <f t="shared" si="0"/>
        <v>28380</v>
      </c>
      <c r="S25" s="725">
        <v>47895</v>
      </c>
      <c r="T25" s="624">
        <v>50438.6666666667</v>
      </c>
      <c r="U25" s="624">
        <f t="shared" si="1"/>
        <v>-2543.6666666667</v>
      </c>
      <c r="V25" s="730"/>
    </row>
    <row r="26" ht="18" customHeight="1" spans="1:22">
      <c r="A26" s="688"/>
      <c r="B26" s="620" t="s">
        <v>2253</v>
      </c>
      <c r="C26" s="621" t="s">
        <v>2762</v>
      </c>
      <c r="D26" s="621" t="s">
        <v>2762</v>
      </c>
      <c r="E26" s="694" t="s">
        <v>2725</v>
      </c>
      <c r="F26" s="695" t="s">
        <v>2744</v>
      </c>
      <c r="G26" s="695" t="s">
        <v>2765</v>
      </c>
      <c r="H26" s="696"/>
      <c r="I26" s="708"/>
      <c r="J26" s="709"/>
      <c r="K26" s="624">
        <v>20800</v>
      </c>
      <c r="L26" s="624">
        <v>7580</v>
      </c>
      <c r="M26" s="624"/>
      <c r="N26" s="624"/>
      <c r="O26" s="624"/>
      <c r="P26" s="624"/>
      <c r="Q26" s="624"/>
      <c r="R26" s="725">
        <f t="shared" si="0"/>
        <v>28380</v>
      </c>
      <c r="S26" s="725">
        <v>47895</v>
      </c>
      <c r="T26" s="624">
        <v>50438.6666666667</v>
      </c>
      <c r="U26" s="624">
        <f t="shared" si="1"/>
        <v>-2543.6666666667</v>
      </c>
      <c r="V26" s="730"/>
    </row>
    <row r="27" ht="18" customHeight="1" spans="1:22">
      <c r="A27" s="688"/>
      <c r="B27" s="620" t="s">
        <v>2256</v>
      </c>
      <c r="C27" s="621" t="s">
        <v>2766</v>
      </c>
      <c r="D27" s="621" t="s">
        <v>2766</v>
      </c>
      <c r="E27" s="694" t="s">
        <v>2767</v>
      </c>
      <c r="F27" s="695" t="s">
        <v>2750</v>
      </c>
      <c r="G27" s="695" t="s">
        <v>2768</v>
      </c>
      <c r="H27" s="696"/>
      <c r="I27" s="708"/>
      <c r="J27" s="709"/>
      <c r="K27" s="624">
        <v>20800</v>
      </c>
      <c r="L27" s="624">
        <v>7580</v>
      </c>
      <c r="M27" s="624"/>
      <c r="N27" s="624"/>
      <c r="O27" s="624"/>
      <c r="P27" s="624"/>
      <c r="Q27" s="624"/>
      <c r="R27" s="725">
        <f t="shared" si="0"/>
        <v>28380</v>
      </c>
      <c r="S27" s="725">
        <v>46170</v>
      </c>
      <c r="T27" s="624">
        <v>50438.6666666667</v>
      </c>
      <c r="U27" s="624">
        <f t="shared" si="1"/>
        <v>-4268.6666666667</v>
      </c>
      <c r="V27" s="731"/>
    </row>
    <row r="28" ht="18" customHeight="1" spans="1:22">
      <c r="A28" s="688"/>
      <c r="B28" s="620" t="s">
        <v>2258</v>
      </c>
      <c r="C28" s="621" t="s">
        <v>2766</v>
      </c>
      <c r="D28" s="621" t="s">
        <v>2766</v>
      </c>
      <c r="E28" s="694" t="s">
        <v>2767</v>
      </c>
      <c r="F28" s="695" t="s">
        <v>2757</v>
      </c>
      <c r="G28" s="695" t="s">
        <v>2728</v>
      </c>
      <c r="H28" s="696"/>
      <c r="I28" s="708"/>
      <c r="J28" s="709"/>
      <c r="K28" s="624">
        <v>20800</v>
      </c>
      <c r="L28" s="624">
        <v>7580</v>
      </c>
      <c r="M28" s="624"/>
      <c r="N28" s="624"/>
      <c r="O28" s="624"/>
      <c r="P28" s="624"/>
      <c r="Q28" s="624"/>
      <c r="R28" s="725">
        <f t="shared" si="0"/>
        <v>28380</v>
      </c>
      <c r="S28" s="725">
        <v>46170</v>
      </c>
      <c r="T28" s="624">
        <v>50438.6666666667</v>
      </c>
      <c r="U28" s="624">
        <f t="shared" si="1"/>
        <v>-4268.6666666667</v>
      </c>
      <c r="V28" s="731"/>
    </row>
    <row r="29" ht="18" customHeight="1" spans="1:22">
      <c r="A29" s="688"/>
      <c r="B29" s="620" t="s">
        <v>2769</v>
      </c>
      <c r="C29" s="621" t="s">
        <v>2770</v>
      </c>
      <c r="D29" s="621" t="s">
        <v>2770</v>
      </c>
      <c r="E29" s="694" t="s">
        <v>2771</v>
      </c>
      <c r="F29" s="695" t="s">
        <v>2772</v>
      </c>
      <c r="G29" s="695" t="s">
        <v>2773</v>
      </c>
      <c r="H29" s="696"/>
      <c r="I29" s="708"/>
      <c r="J29" s="709"/>
      <c r="K29" s="624">
        <v>20800</v>
      </c>
      <c r="L29" s="624">
        <v>7580</v>
      </c>
      <c r="M29" s="624"/>
      <c r="N29" s="624"/>
      <c r="O29" s="624"/>
      <c r="P29" s="624"/>
      <c r="Q29" s="624"/>
      <c r="R29" s="725">
        <f t="shared" si="0"/>
        <v>28380</v>
      </c>
      <c r="S29" s="725">
        <v>47670</v>
      </c>
      <c r="T29" s="624">
        <v>50438.6666666667</v>
      </c>
      <c r="U29" s="624">
        <f t="shared" si="1"/>
        <v>-2768.6666666667</v>
      </c>
      <c r="V29" s="730"/>
    </row>
    <row r="30" ht="18" customHeight="1" spans="1:22">
      <c r="A30" s="688"/>
      <c r="B30" s="620" t="s">
        <v>2774</v>
      </c>
      <c r="C30" s="621" t="s">
        <v>2770</v>
      </c>
      <c r="D30" s="621" t="s">
        <v>2770</v>
      </c>
      <c r="E30" s="694" t="s">
        <v>2771</v>
      </c>
      <c r="F30" s="695" t="s">
        <v>2725</v>
      </c>
      <c r="G30" s="695" t="s">
        <v>2775</v>
      </c>
      <c r="H30" s="696"/>
      <c r="I30" s="708"/>
      <c r="J30" s="709"/>
      <c r="K30" s="624">
        <v>20800</v>
      </c>
      <c r="L30" s="624">
        <v>7580</v>
      </c>
      <c r="M30" s="624"/>
      <c r="N30" s="624"/>
      <c r="O30" s="624"/>
      <c r="P30" s="624"/>
      <c r="Q30" s="624"/>
      <c r="R30" s="725">
        <f t="shared" si="0"/>
        <v>28380</v>
      </c>
      <c r="S30" s="725">
        <v>47670</v>
      </c>
      <c r="T30" s="624">
        <v>50438.6666666667</v>
      </c>
      <c r="U30" s="624">
        <f t="shared" si="1"/>
        <v>-2768.6666666667</v>
      </c>
      <c r="V30" s="730"/>
    </row>
    <row r="31" ht="18" customHeight="1" spans="1:22">
      <c r="A31" s="688"/>
      <c r="B31" s="620" t="s">
        <v>2776</v>
      </c>
      <c r="C31" s="621" t="s">
        <v>2777</v>
      </c>
      <c r="D31" s="621" t="s">
        <v>2777</v>
      </c>
      <c r="E31" s="694" t="s">
        <v>2778</v>
      </c>
      <c r="F31" s="695" t="s">
        <v>2779</v>
      </c>
      <c r="G31" s="695" t="s">
        <v>2780</v>
      </c>
      <c r="H31" s="696"/>
      <c r="I31" s="708"/>
      <c r="J31" s="709"/>
      <c r="K31" s="624">
        <v>20800</v>
      </c>
      <c r="L31" s="624">
        <v>7580</v>
      </c>
      <c r="M31" s="624"/>
      <c r="N31" s="624"/>
      <c r="O31" s="624"/>
      <c r="P31" s="624"/>
      <c r="Q31" s="624"/>
      <c r="R31" s="725">
        <f t="shared" si="0"/>
        <v>28380</v>
      </c>
      <c r="S31" s="725">
        <v>47670</v>
      </c>
      <c r="T31" s="624">
        <v>50438.6666666667</v>
      </c>
      <c r="U31" s="624">
        <f t="shared" si="1"/>
        <v>-2768.6666666667</v>
      </c>
      <c r="V31" s="731"/>
    </row>
    <row r="32" ht="18" customHeight="1" spans="1:22">
      <c r="A32" s="688"/>
      <c r="B32" s="620" t="s">
        <v>2781</v>
      </c>
      <c r="C32" s="621" t="s">
        <v>2777</v>
      </c>
      <c r="D32" s="621" t="s">
        <v>2777</v>
      </c>
      <c r="E32" s="694" t="s">
        <v>2778</v>
      </c>
      <c r="F32" s="695" t="s">
        <v>2782</v>
      </c>
      <c r="G32" s="695" t="s">
        <v>2734</v>
      </c>
      <c r="H32" s="696"/>
      <c r="I32" s="708"/>
      <c r="J32" s="709"/>
      <c r="K32" s="624">
        <v>20800</v>
      </c>
      <c r="L32" s="624">
        <v>7580</v>
      </c>
      <c r="M32" s="624"/>
      <c r="N32" s="624"/>
      <c r="O32" s="624"/>
      <c r="P32" s="624"/>
      <c r="Q32" s="624"/>
      <c r="R32" s="725">
        <f t="shared" si="0"/>
        <v>28380</v>
      </c>
      <c r="S32" s="725">
        <v>47670</v>
      </c>
      <c r="T32" s="624">
        <v>50438.6666666667</v>
      </c>
      <c r="U32" s="624">
        <f t="shared" si="1"/>
        <v>-2768.6666666667</v>
      </c>
      <c r="V32" s="730"/>
    </row>
    <row r="33" ht="18" customHeight="1" spans="1:22">
      <c r="A33" s="688"/>
      <c r="B33" s="620" t="s">
        <v>2783</v>
      </c>
      <c r="C33" s="621" t="s">
        <v>2784</v>
      </c>
      <c r="D33" s="621" t="s">
        <v>2784</v>
      </c>
      <c r="E33" s="694" t="s">
        <v>2785</v>
      </c>
      <c r="F33" s="695" t="s">
        <v>2786</v>
      </c>
      <c r="G33" s="695" t="s">
        <v>2787</v>
      </c>
      <c r="H33" s="696"/>
      <c r="I33" s="708"/>
      <c r="J33" s="709"/>
      <c r="K33" s="624">
        <v>20800</v>
      </c>
      <c r="L33" s="624">
        <v>7580</v>
      </c>
      <c r="M33" s="624"/>
      <c r="N33" s="624"/>
      <c r="O33" s="624"/>
      <c r="P33" s="624"/>
      <c r="Q33" s="624"/>
      <c r="R33" s="725">
        <f t="shared" si="0"/>
        <v>28380</v>
      </c>
      <c r="S33" s="725">
        <v>62820</v>
      </c>
      <c r="T33" s="624">
        <v>50438.6666666667</v>
      </c>
      <c r="U33" s="624">
        <f t="shared" si="1"/>
        <v>12381.3333333333</v>
      </c>
      <c r="V33" s="730"/>
    </row>
    <row r="34" ht="18" customHeight="1" spans="1:22">
      <c r="A34" s="688"/>
      <c r="B34" s="620" t="s">
        <v>2788</v>
      </c>
      <c r="C34" s="621" t="s">
        <v>2784</v>
      </c>
      <c r="D34" s="621" t="s">
        <v>2784</v>
      </c>
      <c r="E34" s="694" t="s">
        <v>2785</v>
      </c>
      <c r="F34" s="695" t="s">
        <v>2779</v>
      </c>
      <c r="G34" s="695" t="s">
        <v>2761</v>
      </c>
      <c r="H34" s="696"/>
      <c r="I34" s="708"/>
      <c r="J34" s="709"/>
      <c r="K34" s="624">
        <v>20800</v>
      </c>
      <c r="L34" s="624">
        <v>7580</v>
      </c>
      <c r="M34" s="624"/>
      <c r="N34" s="624"/>
      <c r="O34" s="624"/>
      <c r="P34" s="624"/>
      <c r="Q34" s="624"/>
      <c r="R34" s="725">
        <f t="shared" si="0"/>
        <v>28380</v>
      </c>
      <c r="S34" s="725">
        <v>62820</v>
      </c>
      <c r="T34" s="624">
        <v>50438.6666666667</v>
      </c>
      <c r="U34" s="624">
        <f t="shared" si="1"/>
        <v>12381.3333333333</v>
      </c>
      <c r="V34" s="730"/>
    </row>
    <row r="35" ht="18" customHeight="1" spans="1:22">
      <c r="A35" s="688"/>
      <c r="B35" s="620" t="s">
        <v>2789</v>
      </c>
      <c r="C35" s="621" t="s">
        <v>2790</v>
      </c>
      <c r="D35" s="621" t="s">
        <v>2790</v>
      </c>
      <c r="E35" s="694" t="s">
        <v>2791</v>
      </c>
      <c r="F35" s="695" t="s">
        <v>2792</v>
      </c>
      <c r="G35" s="695" t="s">
        <v>2793</v>
      </c>
      <c r="H35" s="696"/>
      <c r="I35" s="708"/>
      <c r="J35" s="709"/>
      <c r="K35" s="624">
        <v>20800</v>
      </c>
      <c r="L35" s="624">
        <v>7580</v>
      </c>
      <c r="M35" s="624"/>
      <c r="N35" s="624"/>
      <c r="O35" s="624"/>
      <c r="P35" s="624"/>
      <c r="Q35" s="624"/>
      <c r="R35" s="725">
        <f t="shared" si="0"/>
        <v>28380</v>
      </c>
      <c r="S35" s="725">
        <v>62820</v>
      </c>
      <c r="T35" s="624">
        <v>50438.6666666667</v>
      </c>
      <c r="U35" s="624">
        <f t="shared" si="1"/>
        <v>12381.3333333333</v>
      </c>
      <c r="V35" s="730"/>
    </row>
    <row r="36" ht="18" customHeight="1" spans="1:22">
      <c r="A36" s="688"/>
      <c r="B36" s="620" t="s">
        <v>2794</v>
      </c>
      <c r="C36" s="621" t="s">
        <v>2790</v>
      </c>
      <c r="D36" s="621" t="s">
        <v>2790</v>
      </c>
      <c r="E36" s="694" t="s">
        <v>2791</v>
      </c>
      <c r="F36" s="695" t="s">
        <v>2795</v>
      </c>
      <c r="G36" s="695" t="s">
        <v>2768</v>
      </c>
      <c r="H36" s="696"/>
      <c r="I36" s="708"/>
      <c r="J36" s="709"/>
      <c r="K36" s="624">
        <v>20800</v>
      </c>
      <c r="L36" s="624">
        <v>7580</v>
      </c>
      <c r="M36" s="624"/>
      <c r="N36" s="624"/>
      <c r="O36" s="624"/>
      <c r="P36" s="624"/>
      <c r="Q36" s="624"/>
      <c r="R36" s="725">
        <f t="shared" si="0"/>
        <v>28380</v>
      </c>
      <c r="S36" s="725">
        <v>62820</v>
      </c>
      <c r="T36" s="624">
        <v>50438.6666666667</v>
      </c>
      <c r="U36" s="624">
        <f t="shared" si="1"/>
        <v>12381.3333333333</v>
      </c>
      <c r="V36" s="730"/>
    </row>
    <row r="37" ht="18" customHeight="1" spans="1:22">
      <c r="A37" s="688"/>
      <c r="B37" s="620" t="s">
        <v>2796</v>
      </c>
      <c r="C37" s="621" t="s">
        <v>2797</v>
      </c>
      <c r="D37" s="621" t="s">
        <v>2797</v>
      </c>
      <c r="E37" s="694" t="s">
        <v>2798</v>
      </c>
      <c r="F37" s="695" t="s">
        <v>2765</v>
      </c>
      <c r="G37" s="695" t="s">
        <v>2799</v>
      </c>
      <c r="H37" s="696"/>
      <c r="I37" s="708"/>
      <c r="J37" s="709"/>
      <c r="K37" s="624">
        <v>20800</v>
      </c>
      <c r="L37" s="624">
        <v>7580</v>
      </c>
      <c r="M37" s="624"/>
      <c r="N37" s="624"/>
      <c r="O37" s="624"/>
      <c r="P37" s="624"/>
      <c r="Q37" s="624"/>
      <c r="R37" s="725">
        <f t="shared" si="0"/>
        <v>28380</v>
      </c>
      <c r="S37" s="725">
        <v>49170</v>
      </c>
      <c r="T37" s="624">
        <v>50438.6666666667</v>
      </c>
      <c r="U37" s="624">
        <f t="shared" si="1"/>
        <v>-1268.6666666667</v>
      </c>
      <c r="V37" s="731"/>
    </row>
    <row r="38" ht="18" customHeight="1" spans="1:22">
      <c r="A38" s="688"/>
      <c r="B38" s="620" t="s">
        <v>2800</v>
      </c>
      <c r="C38" s="621" t="s">
        <v>2797</v>
      </c>
      <c r="D38" s="621" t="s">
        <v>2797</v>
      </c>
      <c r="E38" s="694" t="s">
        <v>2798</v>
      </c>
      <c r="F38" s="695" t="s">
        <v>2801</v>
      </c>
      <c r="G38" s="695" t="s">
        <v>2780</v>
      </c>
      <c r="H38" s="696"/>
      <c r="I38" s="708"/>
      <c r="J38" s="709"/>
      <c r="K38" s="624">
        <v>20800</v>
      </c>
      <c r="L38" s="624">
        <v>7580</v>
      </c>
      <c r="M38" s="624"/>
      <c r="N38" s="624"/>
      <c r="O38" s="624"/>
      <c r="P38" s="624"/>
      <c r="Q38" s="624"/>
      <c r="R38" s="725">
        <f t="shared" si="0"/>
        <v>28380</v>
      </c>
      <c r="S38" s="725">
        <v>49170</v>
      </c>
      <c r="T38" s="624">
        <v>50438.6666666667</v>
      </c>
      <c r="U38" s="624">
        <f t="shared" si="1"/>
        <v>-1268.6666666667</v>
      </c>
      <c r="V38" s="731"/>
    </row>
    <row r="39" ht="18" customHeight="1" spans="1:22">
      <c r="A39" s="688"/>
      <c r="B39" s="620" t="s">
        <v>2802</v>
      </c>
      <c r="C39" s="621" t="s">
        <v>2803</v>
      </c>
      <c r="D39" s="621" t="s">
        <v>2803</v>
      </c>
      <c r="E39" s="694" t="s">
        <v>2804</v>
      </c>
      <c r="F39" s="695" t="s">
        <v>2805</v>
      </c>
      <c r="G39" s="695" t="s">
        <v>2795</v>
      </c>
      <c r="H39" s="696"/>
      <c r="I39" s="708"/>
      <c r="J39" s="709"/>
      <c r="K39" s="624">
        <v>20800</v>
      </c>
      <c r="L39" s="624">
        <v>7580</v>
      </c>
      <c r="M39" s="624"/>
      <c r="N39" s="624"/>
      <c r="O39" s="624"/>
      <c r="P39" s="624"/>
      <c r="Q39" s="624"/>
      <c r="R39" s="725">
        <f t="shared" si="0"/>
        <v>28380</v>
      </c>
      <c r="S39" s="725">
        <v>47670</v>
      </c>
      <c r="T39" s="624">
        <v>50438.6666666667</v>
      </c>
      <c r="U39" s="624">
        <f t="shared" si="1"/>
        <v>-2768.6666666667</v>
      </c>
      <c r="V39" s="731"/>
    </row>
    <row r="40" ht="18" customHeight="1" spans="1:22">
      <c r="A40" s="688"/>
      <c r="B40" s="620" t="s">
        <v>2806</v>
      </c>
      <c r="C40" s="621" t="s">
        <v>2803</v>
      </c>
      <c r="D40" s="621" t="s">
        <v>2803</v>
      </c>
      <c r="E40" s="694" t="s">
        <v>2804</v>
      </c>
      <c r="F40" s="695" t="s">
        <v>2765</v>
      </c>
      <c r="G40" s="695" t="s">
        <v>2756</v>
      </c>
      <c r="H40" s="696"/>
      <c r="I40" s="708"/>
      <c r="J40" s="709"/>
      <c r="K40" s="624">
        <v>20800</v>
      </c>
      <c r="L40" s="624">
        <v>7580</v>
      </c>
      <c r="M40" s="624"/>
      <c r="N40" s="624"/>
      <c r="O40" s="624"/>
      <c r="P40" s="624"/>
      <c r="Q40" s="624"/>
      <c r="R40" s="725">
        <f t="shared" si="0"/>
        <v>28380</v>
      </c>
      <c r="S40" s="725">
        <v>47670</v>
      </c>
      <c r="T40" s="624">
        <v>50438.6666666667</v>
      </c>
      <c r="U40" s="624">
        <f t="shared" si="1"/>
        <v>-2768.6666666667</v>
      </c>
      <c r="V40" s="730"/>
    </row>
    <row r="41" ht="18" customHeight="1" spans="1:22">
      <c r="A41" s="688"/>
      <c r="B41" s="620" t="s">
        <v>2807</v>
      </c>
      <c r="C41" s="621" t="s">
        <v>2808</v>
      </c>
      <c r="D41" s="621" t="s">
        <v>2808</v>
      </c>
      <c r="E41" s="694" t="s">
        <v>2809</v>
      </c>
      <c r="F41" s="695" t="s">
        <v>2810</v>
      </c>
      <c r="G41" s="695" t="s">
        <v>2753</v>
      </c>
      <c r="H41" s="696"/>
      <c r="I41" s="708"/>
      <c r="J41" s="709"/>
      <c r="K41" s="624">
        <v>20800</v>
      </c>
      <c r="L41" s="624">
        <v>7580</v>
      </c>
      <c r="M41" s="624"/>
      <c r="N41" s="624"/>
      <c r="O41" s="624"/>
      <c r="P41" s="624"/>
      <c r="Q41" s="624"/>
      <c r="R41" s="725">
        <f t="shared" si="0"/>
        <v>28380</v>
      </c>
      <c r="S41" s="725">
        <v>46620</v>
      </c>
      <c r="T41" s="624">
        <v>50438.6666666667</v>
      </c>
      <c r="U41" s="624">
        <f t="shared" si="1"/>
        <v>-3818.6666666667</v>
      </c>
      <c r="V41" s="732"/>
    </row>
    <row r="42" ht="18" customHeight="1" spans="1:22">
      <c r="A42" s="688"/>
      <c r="B42" s="620" t="s">
        <v>2811</v>
      </c>
      <c r="C42" s="621" t="s">
        <v>2808</v>
      </c>
      <c r="D42" s="621" t="s">
        <v>2808</v>
      </c>
      <c r="E42" s="694" t="s">
        <v>2809</v>
      </c>
      <c r="F42" s="695" t="s">
        <v>2772</v>
      </c>
      <c r="G42" s="695" t="s">
        <v>2780</v>
      </c>
      <c r="H42" s="696"/>
      <c r="I42" s="708"/>
      <c r="J42" s="709"/>
      <c r="K42" s="624">
        <v>20800</v>
      </c>
      <c r="L42" s="624">
        <v>7580</v>
      </c>
      <c r="M42" s="624"/>
      <c r="N42" s="624"/>
      <c r="O42" s="624"/>
      <c r="P42" s="624"/>
      <c r="Q42" s="624"/>
      <c r="R42" s="725">
        <f t="shared" si="0"/>
        <v>28380</v>
      </c>
      <c r="S42" s="725">
        <v>46620</v>
      </c>
      <c r="T42" s="624">
        <v>50438.6666666667</v>
      </c>
      <c r="U42" s="624">
        <f t="shared" si="1"/>
        <v>-3818.6666666667</v>
      </c>
      <c r="V42" s="732"/>
    </row>
    <row r="43" ht="18" customHeight="1" spans="1:22">
      <c r="A43" s="688"/>
      <c r="B43" s="620" t="s">
        <v>2812</v>
      </c>
      <c r="C43" s="621" t="s">
        <v>2813</v>
      </c>
      <c r="D43" s="621" t="s">
        <v>2813</v>
      </c>
      <c r="E43" s="694" t="s">
        <v>2782</v>
      </c>
      <c r="F43" s="695" t="s">
        <v>2741</v>
      </c>
      <c r="G43" s="695" t="s">
        <v>2814</v>
      </c>
      <c r="H43" s="696"/>
      <c r="I43" s="708"/>
      <c r="J43" s="709"/>
      <c r="K43" s="624">
        <v>20800</v>
      </c>
      <c r="L43" s="624">
        <v>7580</v>
      </c>
      <c r="M43" s="624"/>
      <c r="N43" s="624"/>
      <c r="O43" s="624"/>
      <c r="P43" s="624"/>
      <c r="Q43" s="624"/>
      <c r="R43" s="725">
        <f t="shared" si="0"/>
        <v>28380</v>
      </c>
      <c r="S43" s="725">
        <v>52170</v>
      </c>
      <c r="T43" s="624">
        <v>50438.6666666667</v>
      </c>
      <c r="U43" s="624">
        <f t="shared" si="1"/>
        <v>1731.3333333333</v>
      </c>
      <c r="V43" s="730"/>
    </row>
    <row r="44" ht="18" customHeight="1" spans="1:22">
      <c r="A44" s="688"/>
      <c r="B44" s="620" t="s">
        <v>2815</v>
      </c>
      <c r="C44" s="621" t="s">
        <v>2813</v>
      </c>
      <c r="D44" s="621" t="s">
        <v>2813</v>
      </c>
      <c r="E44" s="694" t="s">
        <v>2782</v>
      </c>
      <c r="F44" s="695" t="s">
        <v>2816</v>
      </c>
      <c r="G44" s="695" t="s">
        <v>2775</v>
      </c>
      <c r="H44" s="696"/>
      <c r="I44" s="708"/>
      <c r="J44" s="709"/>
      <c r="K44" s="624">
        <v>20800</v>
      </c>
      <c r="L44" s="624">
        <v>7580</v>
      </c>
      <c r="M44" s="624"/>
      <c r="N44" s="624"/>
      <c r="O44" s="624"/>
      <c r="P44" s="624"/>
      <c r="Q44" s="624"/>
      <c r="R44" s="725">
        <f t="shared" si="0"/>
        <v>28380</v>
      </c>
      <c r="S44" s="725">
        <v>52170</v>
      </c>
      <c r="T44" s="624">
        <v>50438.6666666667</v>
      </c>
      <c r="U44" s="624">
        <f t="shared" si="1"/>
        <v>1731.3333333333</v>
      </c>
      <c r="V44" s="730"/>
    </row>
    <row r="45" ht="18" customHeight="1" spans="1:22">
      <c r="A45" s="688"/>
      <c r="B45" s="620" t="s">
        <v>2817</v>
      </c>
      <c r="C45" s="621" t="s">
        <v>2818</v>
      </c>
      <c r="D45" s="621" t="s">
        <v>2818</v>
      </c>
      <c r="E45" s="694" t="s">
        <v>2819</v>
      </c>
      <c r="F45" s="695" t="s">
        <v>2801</v>
      </c>
      <c r="G45" s="695" t="s">
        <v>2733</v>
      </c>
      <c r="H45" s="696"/>
      <c r="I45" s="708"/>
      <c r="J45" s="709"/>
      <c r="K45" s="624">
        <v>20800</v>
      </c>
      <c r="L45" s="624">
        <v>7580</v>
      </c>
      <c r="M45" s="624"/>
      <c r="N45" s="624"/>
      <c r="O45" s="624"/>
      <c r="P45" s="624"/>
      <c r="Q45" s="624"/>
      <c r="R45" s="725">
        <f t="shared" si="0"/>
        <v>28380</v>
      </c>
      <c r="S45" s="725">
        <v>52170</v>
      </c>
      <c r="T45" s="624">
        <v>50438.6666666667</v>
      </c>
      <c r="U45" s="624">
        <f t="shared" si="1"/>
        <v>1731.3333333333</v>
      </c>
      <c r="V45" s="730"/>
    </row>
    <row r="46" ht="18" customHeight="1" spans="1:22">
      <c r="A46" s="688"/>
      <c r="B46" s="620" t="s">
        <v>2820</v>
      </c>
      <c r="C46" s="621" t="s">
        <v>2818</v>
      </c>
      <c r="D46" s="621" t="s">
        <v>2818</v>
      </c>
      <c r="E46" s="694" t="s">
        <v>2819</v>
      </c>
      <c r="F46" s="695" t="s">
        <v>2764</v>
      </c>
      <c r="G46" s="695" t="s">
        <v>2821</v>
      </c>
      <c r="H46" s="696"/>
      <c r="I46" s="708"/>
      <c r="J46" s="709"/>
      <c r="K46" s="624">
        <v>20800</v>
      </c>
      <c r="L46" s="624">
        <v>7580</v>
      </c>
      <c r="M46" s="624"/>
      <c r="N46" s="624"/>
      <c r="O46" s="624"/>
      <c r="P46" s="624"/>
      <c r="Q46" s="624"/>
      <c r="R46" s="725">
        <f t="shared" si="0"/>
        <v>28380</v>
      </c>
      <c r="S46" s="725">
        <v>52170</v>
      </c>
      <c r="T46" s="624">
        <v>50438.6666666667</v>
      </c>
      <c r="U46" s="624">
        <f t="shared" si="1"/>
        <v>1731.3333333333</v>
      </c>
      <c r="V46" s="730"/>
    </row>
    <row r="47" ht="18" customHeight="1" spans="1:22">
      <c r="A47" s="688"/>
      <c r="B47" s="620" t="s">
        <v>2822</v>
      </c>
      <c r="C47" s="621" t="s">
        <v>2823</v>
      </c>
      <c r="D47" s="621" t="s">
        <v>2823</v>
      </c>
      <c r="E47" s="694" t="s">
        <v>2730</v>
      </c>
      <c r="F47" s="695" t="s">
        <v>2824</v>
      </c>
      <c r="G47" s="695" t="s">
        <v>2775</v>
      </c>
      <c r="H47" s="696"/>
      <c r="I47" s="708"/>
      <c r="J47" s="709"/>
      <c r="K47" s="624">
        <v>20800</v>
      </c>
      <c r="L47" s="624">
        <v>7580</v>
      </c>
      <c r="M47" s="624"/>
      <c r="N47" s="624"/>
      <c r="O47" s="624"/>
      <c r="P47" s="624"/>
      <c r="Q47" s="624"/>
      <c r="R47" s="725">
        <f t="shared" si="0"/>
        <v>28380</v>
      </c>
      <c r="S47" s="725">
        <v>47670</v>
      </c>
      <c r="T47" s="624">
        <v>50438.6666666667</v>
      </c>
      <c r="U47" s="624">
        <f t="shared" si="1"/>
        <v>-2768.6666666667</v>
      </c>
      <c r="V47" s="730"/>
    </row>
    <row r="48" ht="18" customHeight="1" spans="1:22">
      <c r="A48" s="688"/>
      <c r="B48" s="620" t="s">
        <v>2825</v>
      </c>
      <c r="C48" s="621" t="s">
        <v>2823</v>
      </c>
      <c r="D48" s="621" t="s">
        <v>2823</v>
      </c>
      <c r="E48" s="694" t="s">
        <v>2730</v>
      </c>
      <c r="F48" s="695" t="s">
        <v>2814</v>
      </c>
      <c r="G48" s="695" t="s">
        <v>2792</v>
      </c>
      <c r="H48" s="696"/>
      <c r="I48" s="708"/>
      <c r="J48" s="709"/>
      <c r="K48" s="624">
        <v>20800</v>
      </c>
      <c r="L48" s="624">
        <v>7580</v>
      </c>
      <c r="M48" s="624"/>
      <c r="N48" s="624"/>
      <c r="O48" s="624"/>
      <c r="P48" s="624"/>
      <c r="Q48" s="624"/>
      <c r="R48" s="725">
        <f t="shared" si="0"/>
        <v>28380</v>
      </c>
      <c r="S48" s="725">
        <v>47670</v>
      </c>
      <c r="T48" s="624">
        <v>50438.6666666667</v>
      </c>
      <c r="U48" s="624">
        <f t="shared" si="1"/>
        <v>-2768.6666666667</v>
      </c>
      <c r="V48" s="730"/>
    </row>
    <row r="49" ht="18" customHeight="1" spans="1:22">
      <c r="A49" s="688"/>
      <c r="B49" s="620" t="s">
        <v>2826</v>
      </c>
      <c r="C49" s="621" t="s">
        <v>2827</v>
      </c>
      <c r="D49" s="621" t="s">
        <v>2827</v>
      </c>
      <c r="E49" s="694" t="s">
        <v>2828</v>
      </c>
      <c r="F49" s="695" t="s">
        <v>2743</v>
      </c>
      <c r="G49" s="695" t="s">
        <v>2723</v>
      </c>
      <c r="H49" s="696"/>
      <c r="I49" s="708"/>
      <c r="J49" s="709"/>
      <c r="K49" s="624">
        <v>6700</v>
      </c>
      <c r="L49" s="624">
        <v>2330</v>
      </c>
      <c r="M49" s="624"/>
      <c r="N49" s="624"/>
      <c r="O49" s="624"/>
      <c r="P49" s="624"/>
      <c r="Q49" s="624"/>
      <c r="R49" s="725">
        <f t="shared" si="0"/>
        <v>9030</v>
      </c>
      <c r="S49" s="725">
        <v>17690</v>
      </c>
      <c r="T49" s="624">
        <v>16048.6666666667</v>
      </c>
      <c r="U49" s="624">
        <f t="shared" si="1"/>
        <v>1641.3333333333</v>
      </c>
      <c r="V49" s="730"/>
    </row>
    <row r="50" ht="18" customHeight="1" spans="1:22">
      <c r="A50" s="688"/>
      <c r="B50" s="620" t="s">
        <v>2826</v>
      </c>
      <c r="C50" s="621" t="s">
        <v>2829</v>
      </c>
      <c r="D50" s="621" t="s">
        <v>2829</v>
      </c>
      <c r="E50" s="694" t="s">
        <v>2821</v>
      </c>
      <c r="F50" s="695" t="s">
        <v>2786</v>
      </c>
      <c r="G50" s="695" t="s">
        <v>2772</v>
      </c>
      <c r="H50" s="696"/>
      <c r="I50" s="708"/>
      <c r="J50" s="709"/>
      <c r="K50" s="624">
        <v>6700</v>
      </c>
      <c r="L50" s="624">
        <v>2330</v>
      </c>
      <c r="M50" s="624"/>
      <c r="N50" s="624"/>
      <c r="O50" s="624"/>
      <c r="P50" s="624"/>
      <c r="Q50" s="624"/>
      <c r="R50" s="725">
        <f t="shared" si="0"/>
        <v>9030</v>
      </c>
      <c r="S50" s="725">
        <v>17690</v>
      </c>
      <c r="T50" s="624">
        <v>16048.6666666667</v>
      </c>
      <c r="U50" s="624">
        <f t="shared" si="1"/>
        <v>1641.3333333333</v>
      </c>
      <c r="V50" s="730"/>
    </row>
    <row r="51" ht="25.5" spans="1:22">
      <c r="A51" s="697">
        <v>77425</v>
      </c>
      <c r="B51" s="698" t="s">
        <v>2830</v>
      </c>
      <c r="C51" s="699"/>
      <c r="D51" s="700" t="s">
        <v>2831</v>
      </c>
      <c r="E51" s="701"/>
      <c r="F51" s="702"/>
      <c r="G51" s="702"/>
      <c r="H51" s="703"/>
      <c r="I51" s="718"/>
      <c r="J51" s="719"/>
      <c r="K51" s="720"/>
      <c r="L51" s="720"/>
      <c r="M51" s="720">
        <v>30000</v>
      </c>
      <c r="N51" s="720">
        <v>20000</v>
      </c>
      <c r="O51" s="720">
        <v>40000</v>
      </c>
      <c r="P51" s="720">
        <f>P6</f>
        <v>32674</v>
      </c>
      <c r="Q51" s="720"/>
      <c r="R51" s="733"/>
      <c r="S51" s="725"/>
      <c r="T51" s="720">
        <v>118248</v>
      </c>
      <c r="U51" s="720">
        <f>M51+N51+O51+P51-T51</f>
        <v>4426</v>
      </c>
      <c r="V51" s="730"/>
    </row>
    <row r="52" ht="18" customHeight="1" spans="1:22">
      <c r="A52" s="704"/>
      <c r="B52" s="620" t="s">
        <v>2826</v>
      </c>
      <c r="C52" s="621" t="s">
        <v>2832</v>
      </c>
      <c r="D52" s="621" t="s">
        <v>2832</v>
      </c>
      <c r="E52" s="694" t="s">
        <v>2749</v>
      </c>
      <c r="F52" s="695" t="s">
        <v>2804</v>
      </c>
      <c r="G52" s="695" t="s">
        <v>2752</v>
      </c>
      <c r="H52" s="696"/>
      <c r="I52" s="708"/>
      <c r="J52" s="709"/>
      <c r="K52" s="624">
        <v>6700</v>
      </c>
      <c r="L52" s="624">
        <v>2330</v>
      </c>
      <c r="M52" s="624"/>
      <c r="N52" s="624"/>
      <c r="O52" s="624"/>
      <c r="P52" s="624"/>
      <c r="Q52" s="624"/>
      <c r="R52" s="725">
        <f t="shared" ref="R52:R57" si="2">SUM(K52:Q52)</f>
        <v>9030</v>
      </c>
      <c r="S52" s="725">
        <v>19190</v>
      </c>
      <c r="T52" s="624">
        <v>16048.6666666667</v>
      </c>
      <c r="U52" s="624">
        <f t="shared" ref="U52:U57" si="3">S52-T52</f>
        <v>3141.3333333333</v>
      </c>
      <c r="V52" s="730"/>
    </row>
    <row r="53" ht="18" customHeight="1" spans="1:22">
      <c r="A53" s="704"/>
      <c r="B53" s="620" t="s">
        <v>2826</v>
      </c>
      <c r="C53" s="621" t="s">
        <v>2747</v>
      </c>
      <c r="D53" s="621" t="s">
        <v>2747</v>
      </c>
      <c r="E53" s="694" t="s">
        <v>2833</v>
      </c>
      <c r="F53" s="695" t="s">
        <v>2731</v>
      </c>
      <c r="G53" s="695" t="s">
        <v>2760</v>
      </c>
      <c r="H53" s="696"/>
      <c r="I53" s="708"/>
      <c r="J53" s="709"/>
      <c r="K53" s="624">
        <v>19900</v>
      </c>
      <c r="L53" s="624">
        <v>7190</v>
      </c>
      <c r="M53" s="624"/>
      <c r="N53" s="624"/>
      <c r="O53" s="624"/>
      <c r="P53" s="624"/>
      <c r="Q53" s="624"/>
      <c r="R53" s="725">
        <f t="shared" si="2"/>
        <v>27090</v>
      </c>
      <c r="S53" s="725">
        <v>45120</v>
      </c>
      <c r="T53" s="624">
        <v>48145.9999999999</v>
      </c>
      <c r="U53" s="624">
        <f t="shared" si="3"/>
        <v>-3025.9999999999</v>
      </c>
      <c r="V53" s="730"/>
    </row>
    <row r="54" ht="18" customHeight="1" spans="1:22">
      <c r="A54" s="704"/>
      <c r="B54" s="620" t="s">
        <v>2826</v>
      </c>
      <c r="C54" s="621" t="s">
        <v>2751</v>
      </c>
      <c r="D54" s="621" t="s">
        <v>2751</v>
      </c>
      <c r="E54" s="694" t="s">
        <v>2834</v>
      </c>
      <c r="F54" s="695" t="s">
        <v>2746</v>
      </c>
      <c r="G54" s="695" t="s">
        <v>2810</v>
      </c>
      <c r="H54" s="696"/>
      <c r="I54" s="708"/>
      <c r="J54" s="709"/>
      <c r="K54" s="624">
        <v>19900</v>
      </c>
      <c r="L54" s="624">
        <v>7190</v>
      </c>
      <c r="M54" s="624"/>
      <c r="N54" s="624"/>
      <c r="O54" s="624"/>
      <c r="P54" s="624"/>
      <c r="Q54" s="624"/>
      <c r="R54" s="725">
        <f t="shared" si="2"/>
        <v>27090</v>
      </c>
      <c r="S54" s="725">
        <v>45120</v>
      </c>
      <c r="T54" s="624">
        <v>48145.9999999999</v>
      </c>
      <c r="U54" s="624">
        <f t="shared" si="3"/>
        <v>-3025.9999999999</v>
      </c>
      <c r="V54" s="730"/>
    </row>
    <row r="55" ht="18" customHeight="1" spans="1:22">
      <c r="A55" s="705"/>
      <c r="B55" s="620" t="s">
        <v>2826</v>
      </c>
      <c r="C55" s="621" t="s">
        <v>2762</v>
      </c>
      <c r="D55" s="621" t="s">
        <v>2762</v>
      </c>
      <c r="E55" s="694" t="s">
        <v>2835</v>
      </c>
      <c r="F55" s="695" t="s">
        <v>2759</v>
      </c>
      <c r="G55" s="695" t="s">
        <v>2755</v>
      </c>
      <c r="H55" s="696"/>
      <c r="I55" s="708"/>
      <c r="J55" s="709"/>
      <c r="K55" s="624">
        <v>19900</v>
      </c>
      <c r="L55" s="624">
        <v>7190</v>
      </c>
      <c r="M55" s="624"/>
      <c r="N55" s="624"/>
      <c r="O55" s="624"/>
      <c r="P55" s="624"/>
      <c r="Q55" s="624"/>
      <c r="R55" s="725">
        <f t="shared" si="2"/>
        <v>27090</v>
      </c>
      <c r="S55" s="725">
        <v>45120</v>
      </c>
      <c r="T55" s="624">
        <v>48145.9999999999</v>
      </c>
      <c r="U55" s="624">
        <f t="shared" si="3"/>
        <v>-3025.9999999999</v>
      </c>
      <c r="V55" s="730"/>
    </row>
    <row r="56" ht="18" customHeight="1" spans="1:22">
      <c r="A56" s="706" t="s">
        <v>2179</v>
      </c>
      <c r="B56" s="620" t="s">
        <v>2836</v>
      </c>
      <c r="C56" s="621" t="s">
        <v>2766</v>
      </c>
      <c r="D56" s="621" t="s">
        <v>2766</v>
      </c>
      <c r="E56" s="694">
        <v>0</v>
      </c>
      <c r="F56" s="695">
        <v>0</v>
      </c>
      <c r="G56" s="695">
        <v>0</v>
      </c>
      <c r="H56" s="696"/>
      <c r="I56" s="708"/>
      <c r="J56" s="709"/>
      <c r="K56" s="624">
        <v>5000</v>
      </c>
      <c r="L56" s="624">
        <v>11000</v>
      </c>
      <c r="M56" s="624"/>
      <c r="N56" s="624"/>
      <c r="O56" s="624"/>
      <c r="P56" s="624"/>
      <c r="Q56" s="624"/>
      <c r="R56" s="725">
        <f t="shared" si="2"/>
        <v>16000</v>
      </c>
      <c r="S56" s="725">
        <v>89663</v>
      </c>
      <c r="T56" s="624">
        <v>99726.6666666667</v>
      </c>
      <c r="U56" s="624">
        <f t="shared" si="3"/>
        <v>-10063.6666666667</v>
      </c>
      <c r="V56" s="734"/>
    </row>
    <row r="57" ht="18" customHeight="1" spans="1:22">
      <c r="A57" s="707" t="s">
        <v>2837</v>
      </c>
      <c r="B57" s="708" t="s">
        <v>2836</v>
      </c>
      <c r="C57" s="708" t="s">
        <v>2766</v>
      </c>
      <c r="D57" s="708" t="s">
        <v>2766</v>
      </c>
      <c r="E57" s="694" t="s">
        <v>2729</v>
      </c>
      <c r="F57" s="695" t="s">
        <v>2723</v>
      </c>
      <c r="G57" s="695" t="s">
        <v>2724</v>
      </c>
      <c r="H57" s="696" t="s">
        <v>2791</v>
      </c>
      <c r="I57" s="708"/>
      <c r="J57" s="709"/>
      <c r="K57" s="624">
        <v>5000</v>
      </c>
      <c r="L57" s="624">
        <v>1000</v>
      </c>
      <c r="M57" s="624"/>
      <c r="N57" s="624"/>
      <c r="O57" s="624"/>
      <c r="P57" s="624"/>
      <c r="Q57" s="624"/>
      <c r="R57" s="725">
        <f t="shared" si="2"/>
        <v>6000</v>
      </c>
      <c r="S57" s="725">
        <v>6000</v>
      </c>
      <c r="T57" s="624">
        <v>6765</v>
      </c>
      <c r="U57" s="624">
        <f t="shared" si="3"/>
        <v>-765</v>
      </c>
      <c r="V57" s="734"/>
    </row>
    <row r="58" ht="17.25" spans="1:21">
      <c r="A58" s="709"/>
      <c r="B58" s="709"/>
      <c r="C58" s="709"/>
      <c r="D58" s="709"/>
      <c r="E58" s="709"/>
      <c r="F58" s="709"/>
      <c r="G58" s="709"/>
      <c r="H58" s="709"/>
      <c r="I58" s="709"/>
      <c r="J58" s="709"/>
      <c r="K58" s="629">
        <f t="shared" ref="K58:O58" si="4">SUM(K7:K55)</f>
        <v>953400</v>
      </c>
      <c r="L58" s="629">
        <f t="shared" si="4"/>
        <v>346920</v>
      </c>
      <c r="M58" s="629">
        <f t="shared" si="4"/>
        <v>30000</v>
      </c>
      <c r="N58" s="629">
        <f t="shared" si="4"/>
        <v>20000</v>
      </c>
      <c r="O58" s="629">
        <f t="shared" si="4"/>
        <v>40000</v>
      </c>
      <c r="P58" s="629"/>
      <c r="Q58" s="629">
        <f>SUM(Q7:Q55)</f>
        <v>0</v>
      </c>
      <c r="R58" s="629">
        <f>SUM(R7:R55)</f>
        <v>1300320</v>
      </c>
      <c r="S58" s="629">
        <f>SUM(S7:S55)</f>
        <v>2265420</v>
      </c>
      <c r="T58" s="629">
        <f>SUM(T7:T55)</f>
        <v>2429256</v>
      </c>
      <c r="U58" s="629">
        <f>SUM(U7:U55)</f>
        <v>-41162.0000000012</v>
      </c>
    </row>
    <row r="59" ht="60" customHeight="1" spans="1:21">
      <c r="A59" s="710" t="s">
        <v>2838</v>
      </c>
      <c r="B59" s="711"/>
      <c r="C59" s="711"/>
      <c r="D59" s="712"/>
      <c r="E59" s="712"/>
      <c r="F59" s="712"/>
      <c r="G59" s="712"/>
      <c r="H59" s="712"/>
      <c r="I59" s="712"/>
      <c r="J59" s="711"/>
      <c r="K59" s="711"/>
      <c r="L59" s="711"/>
      <c r="M59" s="711"/>
      <c r="N59" s="711"/>
      <c r="O59" s="711"/>
      <c r="P59" s="711"/>
      <c r="Q59" s="711"/>
      <c r="R59" s="711"/>
      <c r="S59" s="711"/>
      <c r="T59" s="711"/>
      <c r="U59" s="735"/>
    </row>
  </sheetData>
  <mergeCells count="61">
    <mergeCell ref="A1:I1"/>
    <mergeCell ref="A2:I2"/>
    <mergeCell ref="A3:I3"/>
    <mergeCell ref="B4:C4"/>
    <mergeCell ref="E4:F4"/>
    <mergeCell ref="B5:C5"/>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A59:U59"/>
    <mergeCell ref="A6:A50"/>
    <mergeCell ref="A52:A55"/>
    <mergeCell ref="R1:U2"/>
  </mergeCells>
  <conditionalFormatting sqref="U3">
    <cfRule type="cellIs" dxfId="0" priority="2" operator="lessThan">
      <formula>0</formula>
    </cfRule>
  </conditionalFormatting>
  <conditionalFormatting sqref="U5:U6">
    <cfRule type="cellIs" dxfId="0" priority="1" operator="lessThan">
      <formula>0</formula>
    </cfRule>
  </conditionalFormatting>
  <pageMargins left="0.75" right="0.75" top="1" bottom="1" header="0.5" footer="0.5"/>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00000"/>
    <pageSetUpPr fitToPage="1"/>
  </sheetPr>
  <dimension ref="A1:AA52"/>
  <sheetViews>
    <sheetView showGridLines="0" zoomScale="70" zoomScaleNormal="70" workbookViewId="0">
      <pane xSplit="2" ySplit="1" topLeftCell="O2" activePane="bottomRight" state="frozen"/>
      <selection/>
      <selection pane="topRight"/>
      <selection pane="bottomLeft"/>
      <selection pane="bottomRight" activeCell="H213" sqref="H213"/>
    </sheetView>
  </sheetViews>
  <sheetFormatPr defaultColWidth="11.4416666666667" defaultRowHeight="14.25"/>
  <cols>
    <col min="1" max="1" width="14.35" style="603" customWidth="1"/>
    <col min="2" max="2" width="13.4416666666667" style="603" customWidth="1"/>
    <col min="3" max="3" width="26.175" style="603" customWidth="1"/>
    <col min="4" max="4" width="21.8166666666667" style="604" customWidth="1"/>
    <col min="5" max="5" width="19.5416666666667" style="604" customWidth="1"/>
    <col min="6" max="6" width="18.65" style="604" customWidth="1"/>
    <col min="7" max="7" width="15.175" style="604" customWidth="1"/>
    <col min="8" max="8" width="18" style="604" hidden="1" customWidth="1"/>
    <col min="9" max="9" width="8.44166666666667" style="604" customWidth="1"/>
    <col min="10" max="18" width="20.35" style="604" customWidth="1"/>
    <col min="19" max="19" width="18.8833333333333" style="604" customWidth="1"/>
    <col min="20" max="20" width="20.325" style="604" customWidth="1"/>
    <col min="21" max="21" width="22" style="604" customWidth="1"/>
    <col min="22" max="22" width="6.81666666666667" style="603" customWidth="1"/>
    <col min="23" max="16383" width="11.4416666666667" style="603"/>
  </cols>
  <sheetData>
    <row r="1" customFormat="1" spans="1:27">
      <c r="A1" s="605" t="s">
        <v>2307</v>
      </c>
      <c r="B1" s="606"/>
      <c r="C1" s="606"/>
      <c r="D1" s="606"/>
      <c r="E1" s="606"/>
      <c r="F1" s="606"/>
      <c r="G1" s="606"/>
      <c r="H1" s="607"/>
      <c r="I1" s="658"/>
      <c r="J1" s="659">
        <v>45132</v>
      </c>
      <c r="K1" s="659">
        <v>45156</v>
      </c>
      <c r="L1" s="659">
        <v>45188</v>
      </c>
      <c r="M1" s="659">
        <v>45257</v>
      </c>
      <c r="N1" s="659">
        <v>45267</v>
      </c>
      <c r="O1" s="659">
        <v>45365</v>
      </c>
      <c r="P1" s="659">
        <v>45397</v>
      </c>
      <c r="Q1" s="659">
        <v>45471</v>
      </c>
      <c r="R1" s="659">
        <v>45805</v>
      </c>
      <c r="S1" s="659"/>
      <c r="T1" s="659"/>
      <c r="U1" s="659"/>
      <c r="V1" s="603"/>
      <c r="W1" s="603"/>
      <c r="X1" s="603"/>
      <c r="Y1" s="603"/>
      <c r="Z1" s="603"/>
      <c r="AA1" s="603"/>
    </row>
    <row r="2" customFormat="1" spans="1:27">
      <c r="A2" s="605" t="s">
        <v>2692</v>
      </c>
      <c r="B2" s="606"/>
      <c r="C2" s="606"/>
      <c r="D2" s="606"/>
      <c r="E2" s="606"/>
      <c r="F2" s="606"/>
      <c r="G2" s="606"/>
      <c r="H2" s="607"/>
      <c r="I2" s="658"/>
      <c r="J2" s="660" t="s">
        <v>2839</v>
      </c>
      <c r="K2" s="660" t="s">
        <v>2840</v>
      </c>
      <c r="L2" s="660" t="s">
        <v>2841</v>
      </c>
      <c r="M2" s="660" t="s">
        <v>2842</v>
      </c>
      <c r="N2" s="660" t="s">
        <v>2843</v>
      </c>
      <c r="O2" s="661" t="s">
        <v>2844</v>
      </c>
      <c r="P2" s="662" t="s">
        <v>2845</v>
      </c>
      <c r="Q2" s="662" t="s">
        <v>2846</v>
      </c>
      <c r="R2" s="662" t="s">
        <v>2847</v>
      </c>
      <c r="S2" s="659"/>
      <c r="T2" s="660"/>
      <c r="U2" s="660"/>
      <c r="V2" s="603"/>
      <c r="W2" s="603"/>
      <c r="X2" s="603"/>
      <c r="Y2" s="603"/>
      <c r="Z2" s="603"/>
      <c r="AA2" s="603"/>
    </row>
    <row r="3" customFormat="1" spans="1:27">
      <c r="A3" s="608" t="s">
        <v>2699</v>
      </c>
      <c r="B3" s="609"/>
      <c r="C3" s="609"/>
      <c r="D3" s="609"/>
      <c r="E3" s="609"/>
      <c r="F3" s="609"/>
      <c r="G3" s="609"/>
      <c r="H3" s="610"/>
      <c r="I3" s="663"/>
      <c r="J3" s="664">
        <v>45177</v>
      </c>
      <c r="K3" s="664">
        <v>45215</v>
      </c>
      <c r="L3" s="664">
        <v>45260</v>
      </c>
      <c r="M3" s="664">
        <v>45342</v>
      </c>
      <c r="N3" s="664">
        <v>45342</v>
      </c>
      <c r="O3" s="664">
        <v>45409</v>
      </c>
      <c r="P3" s="664">
        <v>45442</v>
      </c>
      <c r="Q3" s="664">
        <v>45516</v>
      </c>
      <c r="R3" s="664">
        <v>45850</v>
      </c>
      <c r="S3" s="664"/>
      <c r="T3" s="664"/>
      <c r="U3" s="664"/>
      <c r="V3" s="603"/>
      <c r="W3" s="603"/>
      <c r="X3" s="603"/>
      <c r="Y3" s="603"/>
      <c r="Z3" s="603"/>
      <c r="AA3" s="603"/>
    </row>
    <row r="4" customFormat="1" ht="16.5" spans="1:27">
      <c r="A4" s="611"/>
      <c r="B4" s="612"/>
      <c r="C4" s="612"/>
      <c r="D4" s="612"/>
      <c r="E4" s="612"/>
      <c r="F4" s="612"/>
      <c r="G4" s="612"/>
      <c r="H4" s="613" t="s">
        <v>2702</v>
      </c>
      <c r="I4" s="665" t="s">
        <v>2703</v>
      </c>
      <c r="J4" s="612" t="s">
        <v>2705</v>
      </c>
      <c r="K4" s="612" t="s">
        <v>2705</v>
      </c>
      <c r="L4" s="612" t="s">
        <v>2705</v>
      </c>
      <c r="M4" s="612" t="s">
        <v>2705</v>
      </c>
      <c r="N4" s="612" t="s">
        <v>2705</v>
      </c>
      <c r="O4" s="612" t="s">
        <v>2705</v>
      </c>
      <c r="P4" s="612" t="s">
        <v>2705</v>
      </c>
      <c r="Q4" s="612" t="s">
        <v>2705</v>
      </c>
      <c r="R4" s="612" t="s">
        <v>2705</v>
      </c>
      <c r="S4" s="612" t="s">
        <v>2706</v>
      </c>
      <c r="T4" s="678" t="s">
        <v>2708</v>
      </c>
      <c r="U4" s="612" t="s">
        <v>2709</v>
      </c>
      <c r="V4" s="603"/>
      <c r="W4" s="603"/>
      <c r="X4" s="603"/>
      <c r="Y4" s="603"/>
      <c r="Z4" s="603"/>
      <c r="AA4" s="603"/>
    </row>
    <row r="5" ht="16.5" spans="1:21">
      <c r="A5" s="614"/>
      <c r="B5" s="615" t="s">
        <v>2701</v>
      </c>
      <c r="C5" s="616"/>
      <c r="D5" s="615"/>
      <c r="E5" s="617"/>
      <c r="F5" s="617"/>
      <c r="G5" s="617"/>
      <c r="H5" s="618" t="s">
        <v>2705</v>
      </c>
      <c r="I5" s="666"/>
      <c r="J5" s="667" t="s">
        <v>2848</v>
      </c>
      <c r="K5" s="615"/>
      <c r="L5" s="615"/>
      <c r="M5" s="615" t="s">
        <v>2849</v>
      </c>
      <c r="N5" s="615" t="s">
        <v>2849</v>
      </c>
      <c r="O5" s="615" t="s">
        <v>2849</v>
      </c>
      <c r="P5" s="615" t="s">
        <v>2849</v>
      </c>
      <c r="Q5" s="615" t="s">
        <v>2849</v>
      </c>
      <c r="R5" s="615" t="s">
        <v>2849</v>
      </c>
      <c r="S5" s="679"/>
      <c r="T5" s="679"/>
      <c r="U5" s="680"/>
    </row>
    <row r="6" ht="19.5" spans="1:21">
      <c r="A6" s="619" t="s">
        <v>2710</v>
      </c>
      <c r="B6" s="620" t="s">
        <v>2710</v>
      </c>
      <c r="C6" s="621"/>
      <c r="D6" s="563"/>
      <c r="E6" s="564" t="s">
        <v>2850</v>
      </c>
      <c r="F6" s="622"/>
      <c r="G6" s="623"/>
      <c r="H6" s="624"/>
      <c r="I6" s="668" t="s">
        <v>2851</v>
      </c>
      <c r="J6" s="624">
        <v>105660</v>
      </c>
      <c r="K6" s="624">
        <v>314340</v>
      </c>
      <c r="L6" s="624">
        <v>400000</v>
      </c>
      <c r="M6" s="669">
        <v>300000</v>
      </c>
      <c r="N6" s="669">
        <v>300000</v>
      </c>
      <c r="O6" s="669">
        <v>200000</v>
      </c>
      <c r="P6" s="669">
        <v>400000</v>
      </c>
      <c r="Q6" s="669">
        <v>500000</v>
      </c>
      <c r="R6" s="669">
        <v>300000</v>
      </c>
      <c r="S6" s="669">
        <f>J6+K6+L6+M6+N6+O6+P6+Q6+R6</f>
        <v>2820000</v>
      </c>
      <c r="T6" s="669">
        <f>'77485 S3 明细'!AI332+'77485 S3 明细'!AJ332+2188428</f>
        <v>2738260</v>
      </c>
      <c r="U6" s="669">
        <f t="shared" ref="U6:U41" si="0">S6-T6</f>
        <v>81740</v>
      </c>
    </row>
    <row r="7" ht="17.25" spans="1:21">
      <c r="A7" s="625"/>
      <c r="B7" s="626"/>
      <c r="C7" s="627" t="s">
        <v>2716</v>
      </c>
      <c r="D7" s="628" t="s">
        <v>2717</v>
      </c>
      <c r="E7" s="628" t="s">
        <v>2718</v>
      </c>
      <c r="F7" s="628" t="s">
        <v>2719</v>
      </c>
      <c r="G7" s="628" t="s">
        <v>2852</v>
      </c>
      <c r="H7" s="629"/>
      <c r="I7" s="670"/>
      <c r="J7" s="670"/>
      <c r="K7" s="670"/>
      <c r="L7" s="670"/>
      <c r="M7" s="670"/>
      <c r="N7" s="670"/>
      <c r="O7" s="670"/>
      <c r="P7" s="670"/>
      <c r="Q7" s="670"/>
      <c r="R7" s="670"/>
      <c r="S7" s="670"/>
      <c r="T7" s="670"/>
      <c r="U7" s="670"/>
    </row>
    <row r="8" ht="16.5" spans="1:21">
      <c r="A8" s="630" t="s">
        <v>2853</v>
      </c>
      <c r="B8" s="573" t="s">
        <v>2181</v>
      </c>
      <c r="C8" s="573" t="s">
        <v>2241</v>
      </c>
      <c r="D8" s="631" t="s">
        <v>2854</v>
      </c>
      <c r="E8" s="631" t="s">
        <v>2855</v>
      </c>
      <c r="F8" s="631" t="s">
        <v>2856</v>
      </c>
      <c r="G8" s="631" t="s">
        <v>2857</v>
      </c>
      <c r="H8" s="624" t="e">
        <f>[1]Summary!I7</f>
        <v>#REF!</v>
      </c>
      <c r="I8" s="671" t="s">
        <v>2851</v>
      </c>
      <c r="J8" s="624">
        <v>4926.60714285714</v>
      </c>
      <c r="K8" s="669">
        <v>14900.5324675325</v>
      </c>
      <c r="L8" s="669">
        <v>18961.038961039</v>
      </c>
      <c r="M8" s="669">
        <v>14220.7792207792</v>
      </c>
      <c r="N8" s="669">
        <v>14220.7792207792</v>
      </c>
      <c r="O8" s="669">
        <v>9480.51948051948</v>
      </c>
      <c r="P8" s="669">
        <v>18962</v>
      </c>
      <c r="Q8" s="669">
        <v>23702</v>
      </c>
      <c r="R8" s="669">
        <v>14221</v>
      </c>
      <c r="S8" s="669">
        <f>J8+K8+L8+M8+N8+O8+P8+Q8+R8</f>
        <v>133595.256493507</v>
      </c>
      <c r="T8" s="669">
        <f>'77485 S3 明细'!D336+103737</f>
        <v>129800.464935065</v>
      </c>
      <c r="U8" s="669">
        <f t="shared" si="0"/>
        <v>3794.79155844159</v>
      </c>
    </row>
    <row r="9" ht="16.5" spans="1:21">
      <c r="A9" s="632"/>
      <c r="B9" s="576" t="s">
        <v>2185</v>
      </c>
      <c r="C9" s="576" t="s">
        <v>2858</v>
      </c>
      <c r="D9" s="631" t="s">
        <v>2859</v>
      </c>
      <c r="E9" s="631" t="s">
        <v>2860</v>
      </c>
      <c r="F9" s="631" t="s">
        <v>2861</v>
      </c>
      <c r="G9" s="631" t="s">
        <v>2862</v>
      </c>
      <c r="H9" s="624">
        <f>[1]Summary!I8</f>
        <v>5035.71428571429</v>
      </c>
      <c r="I9" s="672" t="s">
        <v>2851</v>
      </c>
      <c r="J9" s="624">
        <v>4926.60714285714</v>
      </c>
      <c r="K9" s="673">
        <v>14900.5324675325</v>
      </c>
      <c r="L9" s="673">
        <v>18961.038961039</v>
      </c>
      <c r="M9" s="669">
        <v>14220.7792207792</v>
      </c>
      <c r="N9" s="669">
        <v>14220.7792207792</v>
      </c>
      <c r="O9" s="669">
        <v>9480.51948051948</v>
      </c>
      <c r="P9" s="669">
        <v>18962</v>
      </c>
      <c r="Q9" s="669">
        <v>23702</v>
      </c>
      <c r="R9" s="669">
        <v>14221</v>
      </c>
      <c r="S9" s="669">
        <f t="shared" ref="S9:S41" si="1">J9+K9+L9+M9+N9+O9+P9+Q9+R9</f>
        <v>133595.256493507</v>
      </c>
      <c r="T9" s="669">
        <f>'77485 S3 明细'!D337+103737</f>
        <v>129800.464935065</v>
      </c>
      <c r="U9" s="669">
        <f t="shared" si="0"/>
        <v>3794.79155844159</v>
      </c>
    </row>
    <row r="10" ht="16.5" spans="1:21">
      <c r="A10" s="632"/>
      <c r="B10" s="576" t="s">
        <v>2189</v>
      </c>
      <c r="C10" s="576" t="s">
        <v>2207</v>
      </c>
      <c r="D10" s="631" t="s">
        <v>2863</v>
      </c>
      <c r="E10" s="631" t="s">
        <v>2864</v>
      </c>
      <c r="F10" s="631" t="s">
        <v>2865</v>
      </c>
      <c r="G10" s="631" t="s">
        <v>2866</v>
      </c>
      <c r="H10" s="624">
        <f>[1]Summary!I9</f>
        <v>5035.71428571429</v>
      </c>
      <c r="I10" s="672" t="s">
        <v>2851</v>
      </c>
      <c r="J10" s="624">
        <v>4926.60714285714</v>
      </c>
      <c r="K10" s="673">
        <v>14900.5324675325</v>
      </c>
      <c r="L10" s="673">
        <v>18961.038961039</v>
      </c>
      <c r="M10" s="669">
        <v>14220.7792207792</v>
      </c>
      <c r="N10" s="669">
        <v>14220.7792207792</v>
      </c>
      <c r="O10" s="669">
        <v>9480.51948051948</v>
      </c>
      <c r="P10" s="669">
        <v>18962</v>
      </c>
      <c r="Q10" s="669">
        <v>23702</v>
      </c>
      <c r="R10" s="669">
        <v>14221</v>
      </c>
      <c r="S10" s="669">
        <f t="shared" si="1"/>
        <v>133595.256493507</v>
      </c>
      <c r="T10" s="669">
        <f>'77485 S3 明细'!D338+103737</f>
        <v>129800.464935065</v>
      </c>
      <c r="U10" s="669">
        <f t="shared" si="0"/>
        <v>3794.79155844159</v>
      </c>
    </row>
    <row r="11" ht="16.5" spans="1:21">
      <c r="A11" s="632"/>
      <c r="B11" s="576" t="s">
        <v>2193</v>
      </c>
      <c r="C11" s="576" t="s">
        <v>2867</v>
      </c>
      <c r="D11" s="631" t="s">
        <v>2211</v>
      </c>
      <c r="E11" s="631" t="s">
        <v>2855</v>
      </c>
      <c r="F11" s="631" t="s">
        <v>2868</v>
      </c>
      <c r="G11" s="631" t="s">
        <v>2869</v>
      </c>
      <c r="H11" s="624">
        <f>[1]Summary!I10</f>
        <v>5035.71428571429</v>
      </c>
      <c r="I11" s="672" t="s">
        <v>2851</v>
      </c>
      <c r="J11" s="624">
        <v>4926.60714285714</v>
      </c>
      <c r="K11" s="673">
        <v>14900.5324675325</v>
      </c>
      <c r="L11" s="673">
        <v>18961.038961039</v>
      </c>
      <c r="M11" s="669">
        <v>14220.7792207792</v>
      </c>
      <c r="N11" s="669">
        <v>14220.7792207792</v>
      </c>
      <c r="O11" s="669">
        <v>9480.51948051948</v>
      </c>
      <c r="P11" s="669">
        <v>18962</v>
      </c>
      <c r="Q11" s="669">
        <v>23702</v>
      </c>
      <c r="R11" s="669">
        <v>14221</v>
      </c>
      <c r="S11" s="669">
        <f t="shared" si="1"/>
        <v>133595.256493507</v>
      </c>
      <c r="T11" s="669">
        <f>'77485 S3 明细'!D339+103737</f>
        <v>129800.464935065</v>
      </c>
      <c r="U11" s="669">
        <f t="shared" si="0"/>
        <v>3794.79155844159</v>
      </c>
    </row>
    <row r="12" ht="16.5" spans="1:21">
      <c r="A12" s="632"/>
      <c r="B12" s="576" t="s">
        <v>2197</v>
      </c>
      <c r="C12" s="576" t="s">
        <v>2870</v>
      </c>
      <c r="D12" s="631" t="s">
        <v>2871</v>
      </c>
      <c r="E12" s="631" t="s">
        <v>2860</v>
      </c>
      <c r="F12" s="631" t="s">
        <v>2872</v>
      </c>
      <c r="G12" s="631" t="s">
        <v>2873</v>
      </c>
      <c r="H12" s="624">
        <f>[1]Summary!I11</f>
        <v>5035.71428571429</v>
      </c>
      <c r="I12" s="672" t="s">
        <v>2851</v>
      </c>
      <c r="J12" s="624">
        <v>4926.60714285714</v>
      </c>
      <c r="K12" s="673">
        <v>14900.5324675325</v>
      </c>
      <c r="L12" s="673">
        <v>18961.038961039</v>
      </c>
      <c r="M12" s="669">
        <v>14220.7792207792</v>
      </c>
      <c r="N12" s="669">
        <v>14220.7792207792</v>
      </c>
      <c r="O12" s="669">
        <v>9480.51948051948</v>
      </c>
      <c r="P12" s="669">
        <v>18962</v>
      </c>
      <c r="Q12" s="669">
        <v>23702</v>
      </c>
      <c r="R12" s="669">
        <v>14221</v>
      </c>
      <c r="S12" s="669">
        <f t="shared" si="1"/>
        <v>133595.256493507</v>
      </c>
      <c r="T12" s="669">
        <f>'77485 S3 明细'!D340+103737</f>
        <v>129800.464935065</v>
      </c>
      <c r="U12" s="669">
        <f t="shared" si="0"/>
        <v>3794.79155844159</v>
      </c>
    </row>
    <row r="13" ht="16.5" spans="1:21">
      <c r="A13" s="632"/>
      <c r="B13" s="576" t="s">
        <v>2200</v>
      </c>
      <c r="C13" s="576" t="s">
        <v>2874</v>
      </c>
      <c r="D13" s="631" t="s">
        <v>2875</v>
      </c>
      <c r="E13" s="631" t="s">
        <v>2864</v>
      </c>
      <c r="F13" s="631" t="s">
        <v>2876</v>
      </c>
      <c r="G13" s="631" t="s">
        <v>2877</v>
      </c>
      <c r="H13" s="624">
        <f>[1]Summary!I12</f>
        <v>5035.71428571429</v>
      </c>
      <c r="I13" s="672" t="s">
        <v>2851</v>
      </c>
      <c r="J13" s="624">
        <v>4926.60714285714</v>
      </c>
      <c r="K13" s="673">
        <v>14900.5324675325</v>
      </c>
      <c r="L13" s="673">
        <v>18961.038961039</v>
      </c>
      <c r="M13" s="669">
        <v>14220.7792207792</v>
      </c>
      <c r="N13" s="669">
        <v>14220.7792207792</v>
      </c>
      <c r="O13" s="669">
        <v>9480.51948051948</v>
      </c>
      <c r="P13" s="669">
        <v>18962</v>
      </c>
      <c r="Q13" s="669">
        <v>23702</v>
      </c>
      <c r="R13" s="669">
        <v>14221</v>
      </c>
      <c r="S13" s="669">
        <f t="shared" si="1"/>
        <v>133595.256493507</v>
      </c>
      <c r="T13" s="669">
        <f>'77485 S3 明细'!D341+103737</f>
        <v>129800.464935065</v>
      </c>
      <c r="U13" s="669">
        <f t="shared" si="0"/>
        <v>3794.79155844159</v>
      </c>
    </row>
    <row r="14" ht="16.5" spans="1:21">
      <c r="A14" s="632"/>
      <c r="B14" s="576" t="s">
        <v>2204</v>
      </c>
      <c r="C14" s="576" t="s">
        <v>2878</v>
      </c>
      <c r="D14" s="631" t="s">
        <v>2879</v>
      </c>
      <c r="E14" s="631" t="s">
        <v>2855</v>
      </c>
      <c r="F14" s="631" t="s">
        <v>2856</v>
      </c>
      <c r="G14" s="631" t="s">
        <v>2868</v>
      </c>
      <c r="H14" s="624">
        <f>[1]Summary!I13</f>
        <v>5035.71428571429</v>
      </c>
      <c r="I14" s="672" t="s">
        <v>2851</v>
      </c>
      <c r="J14" s="624">
        <v>4926.60714285714</v>
      </c>
      <c r="K14" s="673">
        <v>14900.5324675325</v>
      </c>
      <c r="L14" s="673">
        <v>18961.038961039</v>
      </c>
      <c r="M14" s="669">
        <v>14220.7792207792</v>
      </c>
      <c r="N14" s="669">
        <v>14220.7792207792</v>
      </c>
      <c r="O14" s="669">
        <v>9480.51948051948</v>
      </c>
      <c r="P14" s="669">
        <v>18962</v>
      </c>
      <c r="Q14" s="669">
        <v>23702</v>
      </c>
      <c r="R14" s="669">
        <v>14221</v>
      </c>
      <c r="S14" s="669">
        <f t="shared" si="1"/>
        <v>133595.256493507</v>
      </c>
      <c r="T14" s="669">
        <f>'77485 S3 明细'!D342+103737</f>
        <v>129800.464935065</v>
      </c>
      <c r="U14" s="669">
        <f t="shared" si="0"/>
        <v>3794.79155844159</v>
      </c>
    </row>
    <row r="15" ht="16.5" spans="1:21">
      <c r="A15" s="632"/>
      <c r="B15" s="576" t="s">
        <v>2208</v>
      </c>
      <c r="C15" s="576" t="s">
        <v>2880</v>
      </c>
      <c r="D15" s="631" t="s">
        <v>2881</v>
      </c>
      <c r="E15" s="631" t="s">
        <v>2860</v>
      </c>
      <c r="F15" s="631" t="s">
        <v>2861</v>
      </c>
      <c r="G15" s="631" t="s">
        <v>2857</v>
      </c>
      <c r="H15" s="624">
        <f>[1]Summary!I14</f>
        <v>5035.71428571429</v>
      </c>
      <c r="I15" s="672" t="s">
        <v>2851</v>
      </c>
      <c r="J15" s="624">
        <v>4926.60714285714</v>
      </c>
      <c r="K15" s="673">
        <v>14900.5324675325</v>
      </c>
      <c r="L15" s="673">
        <v>18961.038961039</v>
      </c>
      <c r="M15" s="669">
        <v>14220.7792207792</v>
      </c>
      <c r="N15" s="669">
        <v>14220.7792207792</v>
      </c>
      <c r="O15" s="669">
        <v>9480.51948051948</v>
      </c>
      <c r="P15" s="669">
        <v>18962</v>
      </c>
      <c r="Q15" s="669">
        <v>23702</v>
      </c>
      <c r="R15" s="669">
        <v>14221</v>
      </c>
      <c r="S15" s="669">
        <f t="shared" si="1"/>
        <v>133595.256493507</v>
      </c>
      <c r="T15" s="669">
        <f>'77485 S3 明细'!D343+103737</f>
        <v>129800.464935065</v>
      </c>
      <c r="U15" s="669">
        <f t="shared" si="0"/>
        <v>3794.79155844159</v>
      </c>
    </row>
    <row r="16" ht="16.5" spans="1:21">
      <c r="A16" s="632"/>
      <c r="B16" s="576" t="s">
        <v>2212</v>
      </c>
      <c r="C16" s="576" t="s">
        <v>2882</v>
      </c>
      <c r="D16" s="631" t="s">
        <v>2883</v>
      </c>
      <c r="E16" s="631" t="s">
        <v>2864</v>
      </c>
      <c r="F16" s="631" t="s">
        <v>2862</v>
      </c>
      <c r="G16" s="631" t="s">
        <v>2869</v>
      </c>
      <c r="H16" s="624">
        <f>[1]Summary!I15</f>
        <v>5035.71428571429</v>
      </c>
      <c r="I16" s="672" t="s">
        <v>2851</v>
      </c>
      <c r="J16" s="624">
        <v>4926.60714285714</v>
      </c>
      <c r="K16" s="673">
        <v>14900.5324675325</v>
      </c>
      <c r="L16" s="673">
        <v>18961.038961039</v>
      </c>
      <c r="M16" s="669">
        <v>14220.7792207792</v>
      </c>
      <c r="N16" s="669">
        <v>14220.7792207792</v>
      </c>
      <c r="O16" s="669">
        <v>9480.51948051948</v>
      </c>
      <c r="P16" s="669">
        <v>18962</v>
      </c>
      <c r="Q16" s="669">
        <v>23702</v>
      </c>
      <c r="R16" s="669">
        <v>14221</v>
      </c>
      <c r="S16" s="669">
        <f t="shared" si="1"/>
        <v>133595.256493507</v>
      </c>
      <c r="T16" s="669">
        <f>'77485 S3 明细'!D344+103737</f>
        <v>129800.464935065</v>
      </c>
      <c r="U16" s="669">
        <f t="shared" si="0"/>
        <v>3794.79155844159</v>
      </c>
    </row>
    <row r="17" ht="16.5" spans="1:21">
      <c r="A17" s="632"/>
      <c r="B17" s="576" t="s">
        <v>2216</v>
      </c>
      <c r="C17" s="576" t="s">
        <v>2884</v>
      </c>
      <c r="D17" s="631" t="s">
        <v>2885</v>
      </c>
      <c r="E17" s="631" t="s">
        <v>2855</v>
      </c>
      <c r="F17" s="631" t="s">
        <v>2865</v>
      </c>
      <c r="G17" s="631" t="s">
        <v>2857</v>
      </c>
      <c r="H17" s="624">
        <f>[1]Summary!I16</f>
        <v>5035.71428571429</v>
      </c>
      <c r="I17" s="672" t="s">
        <v>2851</v>
      </c>
      <c r="J17" s="624">
        <v>4926.60714285714</v>
      </c>
      <c r="K17" s="673">
        <v>14900.5324675325</v>
      </c>
      <c r="L17" s="673">
        <v>18961.038961039</v>
      </c>
      <c r="M17" s="669">
        <v>14220.7792207792</v>
      </c>
      <c r="N17" s="669">
        <v>14220.7792207792</v>
      </c>
      <c r="O17" s="669">
        <v>9480.51948051948</v>
      </c>
      <c r="P17" s="669">
        <v>18962</v>
      </c>
      <c r="Q17" s="669">
        <v>23702</v>
      </c>
      <c r="R17" s="669">
        <v>14221</v>
      </c>
      <c r="S17" s="669">
        <f t="shared" si="1"/>
        <v>133595.256493507</v>
      </c>
      <c r="T17" s="669">
        <f>'77485 S3 明细'!D345+103737</f>
        <v>129800.464935065</v>
      </c>
      <c r="U17" s="669">
        <f t="shared" si="0"/>
        <v>3794.79155844159</v>
      </c>
    </row>
    <row r="18" ht="16.5" spans="1:21">
      <c r="A18" s="632"/>
      <c r="B18" s="576" t="s">
        <v>2219</v>
      </c>
      <c r="C18" s="576" t="s">
        <v>2886</v>
      </c>
      <c r="D18" s="631" t="s">
        <v>2887</v>
      </c>
      <c r="E18" s="631" t="s">
        <v>2860</v>
      </c>
      <c r="F18" s="631" t="s">
        <v>2873</v>
      </c>
      <c r="G18" s="631" t="s">
        <v>2868</v>
      </c>
      <c r="H18" s="624">
        <f>[1]Summary!I17</f>
        <v>5035.71428571429</v>
      </c>
      <c r="I18" s="672" t="s">
        <v>2851</v>
      </c>
      <c r="J18" s="624">
        <v>4926.60714285714</v>
      </c>
      <c r="K18" s="673">
        <v>14900.5324675325</v>
      </c>
      <c r="L18" s="673">
        <v>18961.038961039</v>
      </c>
      <c r="M18" s="669">
        <v>14220.7792207792</v>
      </c>
      <c r="N18" s="669">
        <v>14220.7792207792</v>
      </c>
      <c r="O18" s="669">
        <v>9480.51948051948</v>
      </c>
      <c r="P18" s="669">
        <v>18962</v>
      </c>
      <c r="Q18" s="669">
        <v>23702</v>
      </c>
      <c r="R18" s="669">
        <v>14221</v>
      </c>
      <c r="S18" s="669">
        <f t="shared" si="1"/>
        <v>133595.256493507</v>
      </c>
      <c r="T18" s="669">
        <f>'77485 S3 明细'!D346+103737</f>
        <v>129800.464935065</v>
      </c>
      <c r="U18" s="669">
        <f t="shared" si="0"/>
        <v>3794.79155844159</v>
      </c>
    </row>
    <row r="19" ht="16.5" spans="1:21">
      <c r="A19" s="632"/>
      <c r="B19" s="576" t="s">
        <v>2223</v>
      </c>
      <c r="C19" s="576" t="s">
        <v>2888</v>
      </c>
      <c r="D19" s="631" t="s">
        <v>2889</v>
      </c>
      <c r="E19" s="631" t="s">
        <v>2864</v>
      </c>
      <c r="F19" s="631" t="s">
        <v>2866</v>
      </c>
      <c r="G19" s="631" t="s">
        <v>2862</v>
      </c>
      <c r="H19" s="624">
        <f>[1]Summary!I18</f>
        <v>5035.71428571429</v>
      </c>
      <c r="I19" s="672" t="s">
        <v>2851</v>
      </c>
      <c r="J19" s="624">
        <v>4926.60714285714</v>
      </c>
      <c r="K19" s="673">
        <v>14900.5324675325</v>
      </c>
      <c r="L19" s="673">
        <v>18961.038961039</v>
      </c>
      <c r="M19" s="669">
        <v>14220.7792207792</v>
      </c>
      <c r="N19" s="669">
        <v>14220.7792207792</v>
      </c>
      <c r="O19" s="669">
        <v>9480.51948051948</v>
      </c>
      <c r="P19" s="669">
        <v>18962</v>
      </c>
      <c r="Q19" s="669">
        <v>23702</v>
      </c>
      <c r="R19" s="669">
        <v>14221</v>
      </c>
      <c r="S19" s="669">
        <f t="shared" si="1"/>
        <v>133595.256493507</v>
      </c>
      <c r="T19" s="669">
        <f>'77485 S3 明细'!D347+103737</f>
        <v>129800.464935065</v>
      </c>
      <c r="U19" s="669">
        <f t="shared" si="0"/>
        <v>3794.79155844159</v>
      </c>
    </row>
    <row r="20" ht="16.5" spans="1:21">
      <c r="A20" s="632"/>
      <c r="B20" s="576" t="s">
        <v>2227</v>
      </c>
      <c r="C20" s="576" t="s">
        <v>2890</v>
      </c>
      <c r="D20" s="631" t="s">
        <v>2891</v>
      </c>
      <c r="E20" s="631" t="s">
        <v>2855</v>
      </c>
      <c r="F20" s="631" t="s">
        <v>2856</v>
      </c>
      <c r="G20" s="631" t="s">
        <v>2865</v>
      </c>
      <c r="H20" s="624">
        <f>[1]Summary!I19</f>
        <v>5035.71428571429</v>
      </c>
      <c r="I20" s="672" t="s">
        <v>2851</v>
      </c>
      <c r="J20" s="624">
        <v>4926.60714285714</v>
      </c>
      <c r="K20" s="673">
        <v>14900.5324675325</v>
      </c>
      <c r="L20" s="673">
        <v>18961.038961039</v>
      </c>
      <c r="M20" s="669">
        <v>14220.7792207792</v>
      </c>
      <c r="N20" s="669">
        <v>14220.7792207792</v>
      </c>
      <c r="O20" s="669">
        <v>9480.51948051948</v>
      </c>
      <c r="P20" s="669">
        <v>18962</v>
      </c>
      <c r="Q20" s="669">
        <v>23702</v>
      </c>
      <c r="R20" s="669">
        <v>14221</v>
      </c>
      <c r="S20" s="669">
        <f t="shared" si="1"/>
        <v>133595.256493507</v>
      </c>
      <c r="T20" s="669">
        <f>'77485 S3 明细'!D348+103737</f>
        <v>129800.464935065</v>
      </c>
      <c r="U20" s="669">
        <f t="shared" si="0"/>
        <v>3794.79155844159</v>
      </c>
    </row>
    <row r="21" ht="16.5" spans="1:21">
      <c r="A21" s="632"/>
      <c r="B21" s="576" t="s">
        <v>2231</v>
      </c>
      <c r="C21" s="576" t="s">
        <v>2892</v>
      </c>
      <c r="D21" s="631" t="s">
        <v>2893</v>
      </c>
      <c r="E21" s="631" t="s">
        <v>2860</v>
      </c>
      <c r="F21" s="631" t="s">
        <v>2861</v>
      </c>
      <c r="G21" s="631" t="s">
        <v>2872</v>
      </c>
      <c r="H21" s="624">
        <f>[1]Summary!I20</f>
        <v>5035.71428571429</v>
      </c>
      <c r="I21" s="672" t="s">
        <v>2851</v>
      </c>
      <c r="J21" s="624">
        <v>4926.60714285714</v>
      </c>
      <c r="K21" s="673">
        <v>14900.5324675325</v>
      </c>
      <c r="L21" s="673">
        <v>18961.038961039</v>
      </c>
      <c r="M21" s="669">
        <v>14220.7792207792</v>
      </c>
      <c r="N21" s="669">
        <v>14220.7792207792</v>
      </c>
      <c r="O21" s="669">
        <v>9480.51948051948</v>
      </c>
      <c r="P21" s="669">
        <v>18962</v>
      </c>
      <c r="Q21" s="669">
        <v>23702</v>
      </c>
      <c r="R21" s="669">
        <v>14221</v>
      </c>
      <c r="S21" s="669">
        <f t="shared" si="1"/>
        <v>133595.256493507</v>
      </c>
      <c r="T21" s="669">
        <f>'77485 S3 明细'!D349+103737</f>
        <v>129800.464935065</v>
      </c>
      <c r="U21" s="669">
        <f t="shared" si="0"/>
        <v>3794.79155844159</v>
      </c>
    </row>
    <row r="22" ht="16.5" spans="1:21">
      <c r="A22" s="632"/>
      <c r="B22" s="576" t="s">
        <v>2234</v>
      </c>
      <c r="C22" s="576" t="s">
        <v>2894</v>
      </c>
      <c r="D22" s="631" t="s">
        <v>2895</v>
      </c>
      <c r="E22" s="631" t="s">
        <v>2864</v>
      </c>
      <c r="F22" s="631" t="s">
        <v>2876</v>
      </c>
      <c r="G22" s="631" t="s">
        <v>2857</v>
      </c>
      <c r="H22" s="624">
        <f>[1]Summary!I21</f>
        <v>5035.71428571429</v>
      </c>
      <c r="I22" s="672" t="s">
        <v>2851</v>
      </c>
      <c r="J22" s="624">
        <v>4926.60714285714</v>
      </c>
      <c r="K22" s="673">
        <v>14900.5324675325</v>
      </c>
      <c r="L22" s="673">
        <v>18961.038961039</v>
      </c>
      <c r="M22" s="669">
        <v>14220.7792207792</v>
      </c>
      <c r="N22" s="669">
        <v>14220.7792207792</v>
      </c>
      <c r="O22" s="669">
        <v>9480.51948051948</v>
      </c>
      <c r="P22" s="669">
        <v>18962</v>
      </c>
      <c r="Q22" s="669">
        <v>23702</v>
      </c>
      <c r="R22" s="669">
        <v>14221</v>
      </c>
      <c r="S22" s="669">
        <f t="shared" si="1"/>
        <v>133595.256493507</v>
      </c>
      <c r="T22" s="669">
        <f>'77485 S3 明细'!D350+103737</f>
        <v>129800.464935065</v>
      </c>
      <c r="U22" s="669">
        <f t="shared" si="0"/>
        <v>3794.79155844159</v>
      </c>
    </row>
    <row r="23" ht="16.5" spans="1:21">
      <c r="A23" s="632"/>
      <c r="B23" s="576" t="s">
        <v>2238</v>
      </c>
      <c r="C23" s="576" t="s">
        <v>2896</v>
      </c>
      <c r="D23" s="631" t="s">
        <v>2897</v>
      </c>
      <c r="E23" s="631" t="s">
        <v>2855</v>
      </c>
      <c r="F23" s="631" t="s">
        <v>2861</v>
      </c>
      <c r="G23" s="631" t="s">
        <v>2866</v>
      </c>
      <c r="H23" s="624">
        <f>[1]Summary!I22</f>
        <v>5035.71428571429</v>
      </c>
      <c r="I23" s="672" t="s">
        <v>2851</v>
      </c>
      <c r="J23" s="624">
        <v>4926.60714285714</v>
      </c>
      <c r="K23" s="673">
        <v>14900.5324675325</v>
      </c>
      <c r="L23" s="673">
        <v>18961.038961039</v>
      </c>
      <c r="M23" s="669">
        <v>14220.7792207792</v>
      </c>
      <c r="N23" s="669">
        <v>14220.7792207792</v>
      </c>
      <c r="O23" s="669">
        <v>9480.51948051948</v>
      </c>
      <c r="P23" s="669">
        <v>18962</v>
      </c>
      <c r="Q23" s="669">
        <v>23702</v>
      </c>
      <c r="R23" s="669">
        <v>14221</v>
      </c>
      <c r="S23" s="669">
        <f t="shared" si="1"/>
        <v>133595.256493507</v>
      </c>
      <c r="T23" s="669">
        <f>'77485 S3 明细'!D351+103737</f>
        <v>129800.464935065</v>
      </c>
      <c r="U23" s="669">
        <f t="shared" si="0"/>
        <v>3794.79155844159</v>
      </c>
    </row>
    <row r="24" ht="16.5" spans="1:21">
      <c r="A24" s="632"/>
      <c r="B24" s="576" t="s">
        <v>2242</v>
      </c>
      <c r="C24" s="576" t="s">
        <v>2898</v>
      </c>
      <c r="D24" s="631" t="s">
        <v>2899</v>
      </c>
      <c r="E24" s="631" t="s">
        <v>2860</v>
      </c>
      <c r="F24" s="631" t="s">
        <v>2872</v>
      </c>
      <c r="G24" s="631" t="s">
        <v>2862</v>
      </c>
      <c r="H24" s="624">
        <f>[1]Summary!I23</f>
        <v>5035.71428571429</v>
      </c>
      <c r="I24" s="672" t="s">
        <v>2851</v>
      </c>
      <c r="J24" s="624">
        <v>4926.60714285714</v>
      </c>
      <c r="K24" s="673">
        <v>14900.5324675325</v>
      </c>
      <c r="L24" s="673">
        <v>18961.038961039</v>
      </c>
      <c r="M24" s="669">
        <v>14220.7792207792</v>
      </c>
      <c r="N24" s="669">
        <v>14220.7792207792</v>
      </c>
      <c r="O24" s="669">
        <v>9480.51948051948</v>
      </c>
      <c r="P24" s="669">
        <v>18962</v>
      </c>
      <c r="Q24" s="669">
        <v>23702</v>
      </c>
      <c r="R24" s="669">
        <v>14221</v>
      </c>
      <c r="S24" s="669">
        <f t="shared" si="1"/>
        <v>133595.256493507</v>
      </c>
      <c r="T24" s="669">
        <f>'77485 S3 明细'!D352+103737</f>
        <v>129800.464935065</v>
      </c>
      <c r="U24" s="669">
        <f t="shared" si="0"/>
        <v>3794.79155844159</v>
      </c>
    </row>
    <row r="25" ht="16.5" spans="1:21">
      <c r="A25" s="632"/>
      <c r="B25" s="576" t="s">
        <v>2246</v>
      </c>
      <c r="C25" s="576" t="s">
        <v>2900</v>
      </c>
      <c r="D25" s="631" t="s">
        <v>2901</v>
      </c>
      <c r="E25" s="631" t="s">
        <v>2864</v>
      </c>
      <c r="F25" s="631" t="s">
        <v>2876</v>
      </c>
      <c r="G25" s="631" t="s">
        <v>2868</v>
      </c>
      <c r="H25" s="624">
        <f>[1]Summary!I24</f>
        <v>5035.71428571429</v>
      </c>
      <c r="I25" s="672" t="s">
        <v>2851</v>
      </c>
      <c r="J25" s="624">
        <v>4926.60714285714</v>
      </c>
      <c r="K25" s="673">
        <v>14900.5324675325</v>
      </c>
      <c r="L25" s="673">
        <v>18961.038961039</v>
      </c>
      <c r="M25" s="669">
        <v>14220.7792207792</v>
      </c>
      <c r="N25" s="669">
        <v>14220.7792207792</v>
      </c>
      <c r="O25" s="669">
        <v>9480.51948051948</v>
      </c>
      <c r="P25" s="669">
        <v>18962</v>
      </c>
      <c r="Q25" s="669">
        <v>23702</v>
      </c>
      <c r="R25" s="669">
        <v>14221</v>
      </c>
      <c r="S25" s="669">
        <f t="shared" si="1"/>
        <v>133595.256493507</v>
      </c>
      <c r="T25" s="669">
        <f>'77485 S3 明细'!D353+103737</f>
        <v>129800.464935065</v>
      </c>
      <c r="U25" s="669">
        <f t="shared" si="0"/>
        <v>3794.79155844159</v>
      </c>
    </row>
    <row r="26" ht="16.5" spans="1:21">
      <c r="A26" s="632"/>
      <c r="B26" s="576" t="s">
        <v>2250</v>
      </c>
      <c r="C26" s="576" t="s">
        <v>2902</v>
      </c>
      <c r="D26" s="631" t="s">
        <v>2903</v>
      </c>
      <c r="E26" s="631" t="s">
        <v>2855</v>
      </c>
      <c r="F26" s="631" t="s">
        <v>2860</v>
      </c>
      <c r="G26" s="631" t="s">
        <v>2856</v>
      </c>
      <c r="H26" s="624">
        <f>[1]Summary!I25</f>
        <v>5035.71428571429</v>
      </c>
      <c r="I26" s="672" t="s">
        <v>2851</v>
      </c>
      <c r="J26" s="624">
        <v>4926.60714285714</v>
      </c>
      <c r="K26" s="673">
        <v>14900.5324675325</v>
      </c>
      <c r="L26" s="673">
        <v>18961.038961039</v>
      </c>
      <c r="M26" s="669">
        <v>14220.7792207792</v>
      </c>
      <c r="N26" s="669">
        <v>14220.7792207792</v>
      </c>
      <c r="O26" s="669">
        <v>9480.51948051948</v>
      </c>
      <c r="P26" s="669">
        <v>18962</v>
      </c>
      <c r="Q26" s="669">
        <v>23702</v>
      </c>
      <c r="R26" s="669">
        <v>14221</v>
      </c>
      <c r="S26" s="669">
        <f t="shared" si="1"/>
        <v>133595.256493507</v>
      </c>
      <c r="T26" s="669">
        <f>'77485 S3 明细'!D354+103737</f>
        <v>129800.464935065</v>
      </c>
      <c r="U26" s="669">
        <f t="shared" si="0"/>
        <v>3794.79155844159</v>
      </c>
    </row>
    <row r="27" ht="16.5" spans="1:21">
      <c r="A27" s="632"/>
      <c r="B27" s="576" t="s">
        <v>2253</v>
      </c>
      <c r="C27" s="576" t="s">
        <v>2215</v>
      </c>
      <c r="D27" s="631" t="s">
        <v>2904</v>
      </c>
      <c r="E27" s="631" t="s">
        <v>2860</v>
      </c>
      <c r="F27" s="631" t="s">
        <v>2864</v>
      </c>
      <c r="G27" s="631" t="s">
        <v>2873</v>
      </c>
      <c r="H27" s="624">
        <f>[1]Summary!I26</f>
        <v>5035.71428571429</v>
      </c>
      <c r="I27" s="672" t="s">
        <v>2851</v>
      </c>
      <c r="J27" s="624">
        <v>4926.60714285714</v>
      </c>
      <c r="K27" s="673">
        <v>14900.5324675325</v>
      </c>
      <c r="L27" s="673">
        <v>18961.038961039</v>
      </c>
      <c r="M27" s="669">
        <v>14220.7792207792</v>
      </c>
      <c r="N27" s="669">
        <v>14220.7792207792</v>
      </c>
      <c r="O27" s="669">
        <v>9480.51948051948</v>
      </c>
      <c r="P27" s="669">
        <v>18962</v>
      </c>
      <c r="Q27" s="669">
        <v>23702</v>
      </c>
      <c r="R27" s="669">
        <v>14221</v>
      </c>
      <c r="S27" s="669">
        <f t="shared" si="1"/>
        <v>133595.256493507</v>
      </c>
      <c r="T27" s="669">
        <f>'77485 S3 明细'!D355+103737</f>
        <v>129800.464935065</v>
      </c>
      <c r="U27" s="669">
        <f t="shared" si="0"/>
        <v>3794.79155844159</v>
      </c>
    </row>
    <row r="28" ht="16.5" spans="1:21">
      <c r="A28" s="632"/>
      <c r="B28" s="576" t="s">
        <v>2256</v>
      </c>
      <c r="C28" s="576" t="s">
        <v>2905</v>
      </c>
      <c r="D28" s="631" t="s">
        <v>2906</v>
      </c>
      <c r="E28" s="631" t="s">
        <v>2864</v>
      </c>
      <c r="F28" s="631" t="s">
        <v>2855</v>
      </c>
      <c r="G28" s="631" t="s">
        <v>2877</v>
      </c>
      <c r="H28" s="624">
        <f>[1]Summary!I27</f>
        <v>5035.71428571429</v>
      </c>
      <c r="I28" s="672" t="s">
        <v>2851</v>
      </c>
      <c r="J28" s="624">
        <v>4926.60714285714</v>
      </c>
      <c r="K28" s="673">
        <v>14900.5324675325</v>
      </c>
      <c r="L28" s="673">
        <v>18961.038961039</v>
      </c>
      <c r="M28" s="669">
        <v>14220.7792207792</v>
      </c>
      <c r="N28" s="669">
        <v>14220.7792207792</v>
      </c>
      <c r="O28" s="669">
        <v>9480.51948051948</v>
      </c>
      <c r="P28" s="669">
        <v>18962</v>
      </c>
      <c r="Q28" s="669">
        <v>23702</v>
      </c>
      <c r="R28" s="669">
        <v>14221</v>
      </c>
      <c r="S28" s="669">
        <f t="shared" si="1"/>
        <v>133595.256493507</v>
      </c>
      <c r="T28" s="669">
        <f>'77485 S3 明细'!D356+103737</f>
        <v>129800.464935065</v>
      </c>
      <c r="U28" s="669">
        <f t="shared" si="0"/>
        <v>3794.79155844159</v>
      </c>
    </row>
    <row r="29" ht="16.5" spans="1:21">
      <c r="A29" s="632"/>
      <c r="B29" s="576" t="s">
        <v>2258</v>
      </c>
      <c r="C29" s="576" t="s">
        <v>2907</v>
      </c>
      <c r="D29" s="631" t="s">
        <v>2908</v>
      </c>
      <c r="E29" s="631" t="s">
        <v>2909</v>
      </c>
      <c r="F29" s="631" t="s">
        <v>2910</v>
      </c>
      <c r="G29" s="631" t="s">
        <v>2911</v>
      </c>
      <c r="H29" s="624">
        <f>[1]Summary!I28</f>
        <v>5035.71428571429</v>
      </c>
      <c r="I29" s="672" t="s">
        <v>2851</v>
      </c>
      <c r="J29" s="624">
        <v>2201.25</v>
      </c>
      <c r="K29" s="673">
        <v>1428.81818181818</v>
      </c>
      <c r="L29" s="673">
        <v>1818.18181818182</v>
      </c>
      <c r="M29" s="669">
        <v>1363.63636363636</v>
      </c>
      <c r="N29" s="669">
        <v>1363.63636363636</v>
      </c>
      <c r="O29" s="669">
        <v>909.09090909091</v>
      </c>
      <c r="P29" s="669">
        <v>1819</v>
      </c>
      <c r="Q29" s="669">
        <v>2273</v>
      </c>
      <c r="R29" s="669">
        <v>1364</v>
      </c>
      <c r="S29" s="669">
        <f t="shared" si="1"/>
        <v>14540.6136363636</v>
      </c>
      <c r="T29" s="669">
        <f>'77485 S3 明细'!D357+9947</f>
        <v>12446.2363636364</v>
      </c>
      <c r="U29" s="669">
        <f t="shared" si="0"/>
        <v>2094.37727272726</v>
      </c>
    </row>
    <row r="30" ht="16.5" spans="1:21">
      <c r="A30" s="633" t="s">
        <v>2912</v>
      </c>
      <c r="B30" s="634" t="s">
        <v>2913</v>
      </c>
      <c r="C30" s="634" t="s">
        <v>2914</v>
      </c>
      <c r="D30" s="634"/>
      <c r="E30" s="635"/>
      <c r="F30" s="635"/>
      <c r="G30" s="636"/>
      <c r="H30" s="624">
        <f>[1]Summary!I29</f>
        <v>2250</v>
      </c>
      <c r="I30" s="674" t="s">
        <v>2851</v>
      </c>
      <c r="J30" s="624">
        <v>0</v>
      </c>
      <c r="K30" s="675">
        <v>2000</v>
      </c>
      <c r="L30" s="675">
        <v>13970</v>
      </c>
      <c r="M30" s="675">
        <v>11700</v>
      </c>
      <c r="N30" s="624">
        <v>22330</v>
      </c>
      <c r="O30" s="669">
        <v>0</v>
      </c>
      <c r="P30" s="669">
        <v>0</v>
      </c>
      <c r="Q30" s="669">
        <v>10000</v>
      </c>
      <c r="R30" s="669"/>
      <c r="S30" s="669">
        <f t="shared" si="1"/>
        <v>60000</v>
      </c>
      <c r="T30" s="669">
        <f>'77485 S3 明细'!I336+46987</f>
        <v>51321</v>
      </c>
      <c r="U30" s="669">
        <f t="shared" si="0"/>
        <v>8679</v>
      </c>
    </row>
    <row r="31" ht="16.5" spans="1:21">
      <c r="A31" s="637"/>
      <c r="B31" s="634" t="s">
        <v>2913</v>
      </c>
      <c r="C31" s="634"/>
      <c r="D31" s="634" t="s">
        <v>2915</v>
      </c>
      <c r="E31" s="635"/>
      <c r="F31" s="635"/>
      <c r="G31" s="636"/>
      <c r="H31" s="624">
        <f>[1]Summary!I30</f>
        <v>0</v>
      </c>
      <c r="I31" s="674"/>
      <c r="J31" s="624">
        <v>0</v>
      </c>
      <c r="K31" s="675">
        <v>2000</v>
      </c>
      <c r="L31" s="675">
        <v>13970</v>
      </c>
      <c r="M31" s="675">
        <v>11700</v>
      </c>
      <c r="N31" s="624">
        <v>22330</v>
      </c>
      <c r="O31" s="669">
        <v>0</v>
      </c>
      <c r="P31" s="669">
        <v>0</v>
      </c>
      <c r="Q31" s="669">
        <v>10000</v>
      </c>
      <c r="R31" s="669"/>
      <c r="S31" s="669">
        <f t="shared" si="1"/>
        <v>60000</v>
      </c>
      <c r="T31" s="669">
        <f>'77485 S3 明细'!I337+46987</f>
        <v>51321</v>
      </c>
      <c r="U31" s="669">
        <f t="shared" si="0"/>
        <v>8679</v>
      </c>
    </row>
    <row r="32" ht="16.5" spans="1:21">
      <c r="A32" s="637"/>
      <c r="B32" s="634" t="s">
        <v>2913</v>
      </c>
      <c r="C32" s="634" t="s">
        <v>2867</v>
      </c>
      <c r="D32" s="638"/>
      <c r="E32" s="635"/>
      <c r="F32" s="635"/>
      <c r="G32" s="636"/>
      <c r="H32" s="624">
        <f>[1]Summary!I31</f>
        <v>0</v>
      </c>
      <c r="I32" s="674" t="s">
        <v>2851</v>
      </c>
      <c r="J32" s="624">
        <v>0</v>
      </c>
      <c r="K32" s="675">
        <v>2000</v>
      </c>
      <c r="L32" s="675">
        <v>13970</v>
      </c>
      <c r="M32" s="675">
        <v>11700</v>
      </c>
      <c r="N32" s="624">
        <v>22330</v>
      </c>
      <c r="O32" s="669">
        <v>0</v>
      </c>
      <c r="P32" s="669">
        <v>0</v>
      </c>
      <c r="Q32" s="669">
        <v>10000</v>
      </c>
      <c r="R32" s="669"/>
      <c r="S32" s="669">
        <f t="shared" si="1"/>
        <v>60000</v>
      </c>
      <c r="T32" s="669">
        <f>'77485 S3 明细'!I338+46987</f>
        <v>51321</v>
      </c>
      <c r="U32" s="669">
        <f t="shared" si="0"/>
        <v>8679</v>
      </c>
    </row>
    <row r="33" ht="16.5" spans="1:21">
      <c r="A33" s="639"/>
      <c r="B33" s="634" t="s">
        <v>2913</v>
      </c>
      <c r="C33" s="634" t="s">
        <v>2886</v>
      </c>
      <c r="D33" s="634"/>
      <c r="E33" s="635"/>
      <c r="F33" s="635"/>
      <c r="G33" s="636"/>
      <c r="H33" s="624">
        <f>[1]Summary!I32</f>
        <v>0</v>
      </c>
      <c r="I33" s="674" t="s">
        <v>2851</v>
      </c>
      <c r="J33" s="624">
        <v>0</v>
      </c>
      <c r="K33" s="675">
        <v>2000</v>
      </c>
      <c r="L33" s="675">
        <v>13970</v>
      </c>
      <c r="M33" s="675">
        <v>11700</v>
      </c>
      <c r="N33" s="624">
        <v>22330</v>
      </c>
      <c r="O33" s="669">
        <v>0</v>
      </c>
      <c r="P33" s="669">
        <v>0</v>
      </c>
      <c r="Q33" s="669">
        <v>10000</v>
      </c>
      <c r="R33" s="669"/>
      <c r="S33" s="669">
        <f t="shared" si="1"/>
        <v>60000</v>
      </c>
      <c r="T33" s="669">
        <f>'77485 S3 明细'!I339+46987</f>
        <v>51321</v>
      </c>
      <c r="U33" s="669">
        <f t="shared" si="0"/>
        <v>8679</v>
      </c>
    </row>
    <row r="34" ht="16.5" spans="1:21">
      <c r="A34" s="634" t="s">
        <v>2916</v>
      </c>
      <c r="B34" s="634" t="s">
        <v>2913</v>
      </c>
      <c r="C34" s="634" t="s">
        <v>2226</v>
      </c>
      <c r="D34" s="634"/>
      <c r="E34" s="635"/>
      <c r="F34" s="635"/>
      <c r="G34" s="636"/>
      <c r="H34" s="624"/>
      <c r="I34" s="674"/>
      <c r="J34" s="624"/>
      <c r="K34" s="675"/>
      <c r="L34" s="675"/>
      <c r="M34" s="675">
        <v>100</v>
      </c>
      <c r="N34" s="624">
        <v>0</v>
      </c>
      <c r="O34" s="669">
        <v>300</v>
      </c>
      <c r="P34" s="669">
        <v>0</v>
      </c>
      <c r="Q34" s="669">
        <v>0</v>
      </c>
      <c r="R34" s="669"/>
      <c r="S34" s="669">
        <f t="shared" si="1"/>
        <v>400</v>
      </c>
      <c r="T34" s="669">
        <f>'77485 S3 明细'!I347+211</f>
        <v>298</v>
      </c>
      <c r="U34" s="669">
        <f t="shared" si="0"/>
        <v>102</v>
      </c>
    </row>
    <row r="35" ht="16.5" spans="1:21">
      <c r="A35" s="634"/>
      <c r="B35" s="634" t="s">
        <v>2913</v>
      </c>
      <c r="C35" s="634"/>
      <c r="D35" s="634" t="s">
        <v>2230</v>
      </c>
      <c r="E35" s="635"/>
      <c r="F35" s="635"/>
      <c r="G35" s="636"/>
      <c r="H35" s="624"/>
      <c r="I35" s="674"/>
      <c r="J35" s="624"/>
      <c r="K35" s="675"/>
      <c r="L35" s="675"/>
      <c r="M35" s="675">
        <v>100</v>
      </c>
      <c r="N35" s="624">
        <v>0</v>
      </c>
      <c r="O35" s="669">
        <v>300</v>
      </c>
      <c r="P35" s="669">
        <v>0</v>
      </c>
      <c r="Q35" s="669">
        <v>0</v>
      </c>
      <c r="R35" s="669"/>
      <c r="S35" s="669">
        <f t="shared" si="1"/>
        <v>400</v>
      </c>
      <c r="T35" s="669">
        <f>'77485 S3 明细'!I348+211</f>
        <v>298</v>
      </c>
      <c r="U35" s="669">
        <f t="shared" si="0"/>
        <v>102</v>
      </c>
    </row>
    <row r="36" ht="16.5" spans="1:21">
      <c r="A36" s="634" t="s">
        <v>2917</v>
      </c>
      <c r="B36" s="634" t="s">
        <v>2913</v>
      </c>
      <c r="C36" s="634" t="s">
        <v>2914</v>
      </c>
      <c r="D36" s="634"/>
      <c r="E36" s="635"/>
      <c r="F36" s="635"/>
      <c r="G36" s="636"/>
      <c r="H36" s="624">
        <f>[1]Summary!I33</f>
        <v>0</v>
      </c>
      <c r="I36" s="674" t="s">
        <v>2851</v>
      </c>
      <c r="J36" s="624">
        <v>0</v>
      </c>
      <c r="K36" s="675">
        <v>1761</v>
      </c>
      <c r="L36" s="675"/>
      <c r="M36" s="675"/>
      <c r="N36" s="624">
        <v>0</v>
      </c>
      <c r="O36" s="669">
        <v>0</v>
      </c>
      <c r="P36" s="669">
        <v>0</v>
      </c>
      <c r="Q36" s="669">
        <v>0</v>
      </c>
      <c r="R36" s="669"/>
      <c r="S36" s="669">
        <f t="shared" si="1"/>
        <v>1761</v>
      </c>
      <c r="T36" s="669">
        <f>'77485 S3 明细'!I342+1761</f>
        <v>1761</v>
      </c>
      <c r="U36" s="669">
        <f t="shared" si="0"/>
        <v>0</v>
      </c>
    </row>
    <row r="37" ht="16.5" spans="1:21">
      <c r="A37" s="634"/>
      <c r="B37" s="634" t="s">
        <v>2913</v>
      </c>
      <c r="C37" s="634"/>
      <c r="D37" s="634" t="s">
        <v>2211</v>
      </c>
      <c r="E37" s="635"/>
      <c r="F37" s="635"/>
      <c r="G37" s="636"/>
      <c r="H37" s="624">
        <f>[1]Summary!I34</f>
        <v>0</v>
      </c>
      <c r="I37" s="674"/>
      <c r="J37" s="624">
        <v>0</v>
      </c>
      <c r="K37" s="675">
        <v>1761</v>
      </c>
      <c r="L37" s="675"/>
      <c r="M37" s="675"/>
      <c r="N37" s="624">
        <v>0</v>
      </c>
      <c r="O37" s="669">
        <v>0</v>
      </c>
      <c r="P37" s="669">
        <v>0</v>
      </c>
      <c r="Q37" s="669">
        <v>0</v>
      </c>
      <c r="R37" s="669"/>
      <c r="S37" s="669">
        <f t="shared" si="1"/>
        <v>1761</v>
      </c>
      <c r="T37" s="669">
        <f>'77485 S3 明细'!I343+1761</f>
        <v>1761</v>
      </c>
      <c r="U37" s="669">
        <f t="shared" si="0"/>
        <v>0</v>
      </c>
    </row>
    <row r="38" ht="16.5" spans="1:21">
      <c r="A38" s="640"/>
      <c r="B38" s="634" t="s">
        <v>2913</v>
      </c>
      <c r="C38" s="634" t="s">
        <v>2918</v>
      </c>
      <c r="D38" s="634"/>
      <c r="E38" s="641"/>
      <c r="F38" s="641"/>
      <c r="G38" s="641"/>
      <c r="H38" s="624">
        <f>[1]Summary!I35</f>
        <v>0</v>
      </c>
      <c r="I38" s="674" t="s">
        <v>2851</v>
      </c>
      <c r="J38" s="624">
        <f>[1]Summary!U35</f>
        <v>0</v>
      </c>
      <c r="K38" s="675">
        <v>1761</v>
      </c>
      <c r="L38" s="675"/>
      <c r="M38" s="675"/>
      <c r="N38" s="624">
        <v>0</v>
      </c>
      <c r="O38" s="669">
        <v>0</v>
      </c>
      <c r="P38" s="669">
        <v>0</v>
      </c>
      <c r="Q38" s="669">
        <v>0</v>
      </c>
      <c r="R38" s="669"/>
      <c r="S38" s="669">
        <f t="shared" si="1"/>
        <v>1761</v>
      </c>
      <c r="T38" s="669">
        <f>'77485 S3 明细'!I344+1761</f>
        <v>1761</v>
      </c>
      <c r="U38" s="669">
        <f t="shared" si="0"/>
        <v>0</v>
      </c>
    </row>
    <row r="39" ht="16.5" spans="1:21">
      <c r="A39" s="634" t="s">
        <v>2919</v>
      </c>
      <c r="B39" s="642" t="s">
        <v>2913</v>
      </c>
      <c r="C39" s="643" t="s">
        <v>2241</v>
      </c>
      <c r="D39" s="644"/>
      <c r="E39" s="641"/>
      <c r="F39" s="641"/>
      <c r="G39" s="641"/>
      <c r="H39" s="624"/>
      <c r="I39" s="668"/>
      <c r="J39" s="624"/>
      <c r="K39" s="675"/>
      <c r="L39" s="675"/>
      <c r="M39" s="675"/>
      <c r="N39" s="624">
        <v>300</v>
      </c>
      <c r="O39" s="624">
        <v>2200</v>
      </c>
      <c r="P39" s="624">
        <v>1000</v>
      </c>
      <c r="Q39" s="669">
        <v>0</v>
      </c>
      <c r="R39" s="669"/>
      <c r="S39" s="669">
        <f t="shared" si="1"/>
        <v>3500</v>
      </c>
      <c r="T39" s="669">
        <f>'77485 S3 明细'!I351+586</f>
        <v>586</v>
      </c>
      <c r="U39" s="669">
        <f t="shared" si="0"/>
        <v>2914</v>
      </c>
    </row>
    <row r="40" ht="16.5" spans="1:21">
      <c r="A40" s="634"/>
      <c r="B40" s="642" t="s">
        <v>2913</v>
      </c>
      <c r="C40" s="643"/>
      <c r="D40" s="644" t="s">
        <v>2245</v>
      </c>
      <c r="E40" s="641"/>
      <c r="F40" s="641"/>
      <c r="G40" s="641"/>
      <c r="H40" s="624"/>
      <c r="I40" s="668"/>
      <c r="J40" s="624"/>
      <c r="K40" s="675"/>
      <c r="L40" s="675"/>
      <c r="M40" s="675"/>
      <c r="N40" s="624">
        <v>300</v>
      </c>
      <c r="O40" s="624">
        <v>2200</v>
      </c>
      <c r="P40" s="624">
        <v>1000</v>
      </c>
      <c r="Q40" s="669">
        <v>0</v>
      </c>
      <c r="R40" s="669"/>
      <c r="S40" s="669">
        <f t="shared" si="1"/>
        <v>3500</v>
      </c>
      <c r="T40" s="669">
        <f>'77485 S3 明细'!I352+586</f>
        <v>586</v>
      </c>
      <c r="U40" s="669">
        <f t="shared" si="0"/>
        <v>2914</v>
      </c>
    </row>
    <row r="41" ht="16.5" spans="1:21">
      <c r="A41" s="640"/>
      <c r="B41" s="642" t="s">
        <v>2913</v>
      </c>
      <c r="C41" s="643"/>
      <c r="D41" s="644" t="s">
        <v>2249</v>
      </c>
      <c r="E41" s="641"/>
      <c r="F41" s="641"/>
      <c r="G41" s="641"/>
      <c r="H41" s="624"/>
      <c r="I41" s="668"/>
      <c r="J41" s="624"/>
      <c r="K41" s="675"/>
      <c r="L41" s="675"/>
      <c r="M41" s="675"/>
      <c r="N41" s="624">
        <v>300</v>
      </c>
      <c r="O41" s="624">
        <v>2200</v>
      </c>
      <c r="P41" s="624">
        <v>1000</v>
      </c>
      <c r="Q41" s="669">
        <v>0</v>
      </c>
      <c r="R41" s="669"/>
      <c r="S41" s="669">
        <f t="shared" si="1"/>
        <v>3500</v>
      </c>
      <c r="T41" s="669">
        <f>'77485 S3 明细'!I353+586</f>
        <v>586</v>
      </c>
      <c r="U41" s="669">
        <f t="shared" si="0"/>
        <v>2914</v>
      </c>
    </row>
    <row r="42" ht="17.25" spans="1:21">
      <c r="A42" s="645"/>
      <c r="B42" s="646" t="s">
        <v>2848</v>
      </c>
      <c r="C42" s="647"/>
      <c r="D42" s="648"/>
      <c r="E42" s="649"/>
      <c r="F42" s="649"/>
      <c r="G42" s="650"/>
      <c r="H42" s="629"/>
      <c r="I42" s="676"/>
      <c r="J42" s="677">
        <f t="shared" ref="J42:P42" si="2">SUM(J8:J38)</f>
        <v>105660</v>
      </c>
      <c r="K42" s="677">
        <f t="shared" si="2"/>
        <v>327623.000000001</v>
      </c>
      <c r="L42" s="677">
        <f t="shared" si="2"/>
        <v>455880.000000001</v>
      </c>
      <c r="M42" s="677">
        <f t="shared" si="2"/>
        <v>346999.999999999</v>
      </c>
      <c r="N42" s="677">
        <f t="shared" ref="N42:S42" si="3">SUM(N8:N41)</f>
        <v>390219.999999999</v>
      </c>
      <c r="O42" s="677">
        <f t="shared" si="3"/>
        <v>207200</v>
      </c>
      <c r="P42" s="677">
        <f t="shared" si="3"/>
        <v>403021</v>
      </c>
      <c r="Q42" s="677">
        <f t="shared" si="3"/>
        <v>540015</v>
      </c>
      <c r="R42" s="677">
        <f t="shared" si="3"/>
        <v>300005</v>
      </c>
      <c r="S42" s="677">
        <f t="shared" si="3"/>
        <v>3076624</v>
      </c>
      <c r="T42" s="677">
        <f>SUM(T8:T41)+2</f>
        <v>2951179</v>
      </c>
      <c r="U42" s="677">
        <f>SUM(U8:U38)</f>
        <v>116705.000000001</v>
      </c>
    </row>
    <row r="43" ht="16.5" spans="1:21">
      <c r="A43" s="651" t="s">
        <v>20</v>
      </c>
      <c r="B43" s="651"/>
      <c r="C43" s="652" t="s">
        <v>2920</v>
      </c>
      <c r="D43" s="653"/>
      <c r="E43" s="653"/>
      <c r="F43" s="653"/>
      <c r="G43" s="653"/>
      <c r="H43" s="653"/>
      <c r="I43" s="653"/>
      <c r="J43" s="653"/>
      <c r="K43" s="653"/>
      <c r="L43" s="653"/>
      <c r="M43" s="653"/>
      <c r="N43" s="653"/>
      <c r="O43" s="653"/>
      <c r="P43" s="653"/>
      <c r="Q43" s="653"/>
      <c r="R43" s="653"/>
      <c r="S43" s="653"/>
      <c r="T43" s="653"/>
      <c r="U43" s="681"/>
    </row>
    <row r="44" spans="1:21">
      <c r="A44" s="654"/>
      <c r="B44" s="654"/>
      <c r="C44" s="654"/>
      <c r="D44" s="654"/>
      <c r="E44" s="654"/>
      <c r="F44" s="654"/>
      <c r="G44" s="654"/>
      <c r="H44" s="654"/>
      <c r="I44" s="654"/>
      <c r="J44" s="654"/>
      <c r="K44" s="654"/>
      <c r="L44" s="654"/>
      <c r="M44" s="654"/>
      <c r="N44" s="654"/>
      <c r="O44" s="654"/>
      <c r="P44" s="654"/>
      <c r="Q44" s="654"/>
      <c r="R44" s="654"/>
      <c r="S44" s="654"/>
      <c r="T44" s="654"/>
      <c r="U44" s="654"/>
    </row>
    <row r="45" ht="18" spans="1:21">
      <c r="A45" s="655" t="s">
        <v>2921</v>
      </c>
      <c r="B45" s="655"/>
      <c r="C45" s="655"/>
      <c r="D45" s="655"/>
      <c r="E45" s="656"/>
      <c r="F45" s="656"/>
      <c r="G45" s="655"/>
      <c r="H45" s="655"/>
      <c r="I45" s="655"/>
      <c r="J45" s="655" t="s">
        <v>2922</v>
      </c>
      <c r="K45" s="655"/>
      <c r="L45" s="655"/>
      <c r="M45" s="655"/>
      <c r="N45" s="655"/>
      <c r="O45" s="655"/>
      <c r="P45" s="655"/>
      <c r="Q45" s="655"/>
      <c r="R45" s="655"/>
      <c r="S45" s="655"/>
      <c r="T45" s="682"/>
      <c r="U45" s="682"/>
    </row>
    <row r="46" ht="18" spans="1:21">
      <c r="A46" s="655" t="s">
        <v>2921</v>
      </c>
      <c r="B46" s="655"/>
      <c r="C46" s="655"/>
      <c r="D46" s="655"/>
      <c r="E46" s="656"/>
      <c r="F46" s="656"/>
      <c r="G46" s="655"/>
      <c r="H46" s="655"/>
      <c r="I46" s="655"/>
      <c r="J46" s="655" t="s">
        <v>2922</v>
      </c>
      <c r="K46" s="655"/>
      <c r="L46" s="655"/>
      <c r="M46" s="655"/>
      <c r="N46" s="655"/>
      <c r="O46" s="655"/>
      <c r="P46" s="655"/>
      <c r="Q46" s="655"/>
      <c r="R46" s="655"/>
      <c r="S46" s="655"/>
      <c r="T46" s="682"/>
      <c r="U46" s="682"/>
    </row>
    <row r="47" ht="18" spans="1:21">
      <c r="A47" s="655"/>
      <c r="B47" s="655"/>
      <c r="C47" s="655"/>
      <c r="D47" s="655"/>
      <c r="E47" s="655"/>
      <c r="F47" s="655"/>
      <c r="G47" s="655"/>
      <c r="H47" s="655"/>
      <c r="I47" s="655"/>
      <c r="J47" s="655"/>
      <c r="K47" s="655"/>
      <c r="L47" s="655"/>
      <c r="M47" s="655"/>
      <c r="N47" s="655"/>
      <c r="O47" s="655"/>
      <c r="P47" s="655"/>
      <c r="Q47" s="655"/>
      <c r="R47" s="655"/>
      <c r="S47" s="655"/>
      <c r="T47" s="682"/>
      <c r="U47" s="682"/>
    </row>
    <row r="48" ht="18" spans="1:21">
      <c r="A48" s="655"/>
      <c r="B48" s="655"/>
      <c r="C48" s="655"/>
      <c r="D48" s="655"/>
      <c r="E48" s="655"/>
      <c r="F48" s="655"/>
      <c r="G48" s="655"/>
      <c r="H48" s="655"/>
      <c r="I48" s="655"/>
      <c r="J48" s="655"/>
      <c r="K48" s="655"/>
      <c r="L48" s="655"/>
      <c r="M48" s="655"/>
      <c r="N48" s="655"/>
      <c r="O48" s="655"/>
      <c r="P48" s="655"/>
      <c r="Q48" s="655"/>
      <c r="R48" s="655"/>
      <c r="S48" s="655"/>
      <c r="T48" s="682"/>
      <c r="U48" s="682"/>
    </row>
    <row r="49" ht="18" spans="1:21">
      <c r="A49" s="655"/>
      <c r="B49" s="655"/>
      <c r="C49" s="655"/>
      <c r="D49" s="655"/>
      <c r="E49" s="655"/>
      <c r="F49" s="655"/>
      <c r="G49" s="655"/>
      <c r="H49" s="655"/>
      <c r="I49" s="655"/>
      <c r="J49" s="655"/>
      <c r="K49" s="655"/>
      <c r="L49" s="655"/>
      <c r="M49" s="655"/>
      <c r="N49" s="655"/>
      <c r="O49" s="655"/>
      <c r="P49" s="655"/>
      <c r="Q49" s="655"/>
      <c r="R49" s="655"/>
      <c r="S49" s="655"/>
      <c r="T49" s="682"/>
      <c r="U49" s="682"/>
    </row>
    <row r="50" ht="18" spans="1:21">
      <c r="A50" s="657" t="s">
        <v>2923</v>
      </c>
      <c r="B50" s="657"/>
      <c r="C50" s="657"/>
      <c r="D50" s="657"/>
      <c r="E50" s="655"/>
      <c r="F50" s="655"/>
      <c r="G50" s="655"/>
      <c r="H50" s="655"/>
      <c r="I50" s="655"/>
      <c r="J50" s="657" t="s">
        <v>2923</v>
      </c>
      <c r="K50" s="657"/>
      <c r="L50" s="657"/>
      <c r="M50" s="657"/>
      <c r="N50" s="657"/>
      <c r="O50" s="657"/>
      <c r="P50" s="657"/>
      <c r="Q50" s="657"/>
      <c r="R50" s="657"/>
      <c r="S50" s="655"/>
      <c r="T50" s="682"/>
      <c r="U50" s="682"/>
    </row>
    <row r="51" spans="21:21">
      <c r="U51" s="603"/>
    </row>
    <row r="52" spans="21:21">
      <c r="U52" s="603"/>
    </row>
  </sheetData>
  <mergeCells count="16">
    <mergeCell ref="A1:I1"/>
    <mergeCell ref="A2:I2"/>
    <mergeCell ref="A3:I3"/>
    <mergeCell ref="B4:C4"/>
    <mergeCell ref="E4:F4"/>
    <mergeCell ref="B5:C5"/>
    <mergeCell ref="D5:G5"/>
    <mergeCell ref="T5:U5"/>
    <mergeCell ref="B6:C6"/>
    <mergeCell ref="A43:B43"/>
    <mergeCell ref="C43:U43"/>
    <mergeCell ref="A8:A29"/>
    <mergeCell ref="A30:A33"/>
    <mergeCell ref="A34:A35"/>
    <mergeCell ref="A36:A38"/>
    <mergeCell ref="A39:A41"/>
  </mergeCells>
  <printOptions horizontalCentered="1"/>
  <pageMargins left="0" right="0" top="0.393700787401575" bottom="0.393700787401575" header="0" footer="0"/>
  <pageSetup paperSize="9" scale="27" fitToHeight="3" orientation="portrait" horizontalDpi="1200" verticalDpi="1200"/>
  <headerFooter alignWithMargins="0"/>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6"/>
  <sheetViews>
    <sheetView zoomScale="80" zoomScaleNormal="80" workbookViewId="0">
      <selection activeCell="L6" sqref="L6"/>
    </sheetView>
  </sheetViews>
  <sheetFormatPr defaultColWidth="11.45" defaultRowHeight="14.25"/>
  <cols>
    <col min="1" max="1" width="14.175" style="546" customWidth="1"/>
    <col min="2" max="2" width="13.45" style="546" customWidth="1"/>
    <col min="3" max="3" width="25" style="546" customWidth="1"/>
    <col min="4" max="4" width="24.725" style="547" customWidth="1"/>
    <col min="5" max="5" width="21.3666666666667" style="547" customWidth="1"/>
    <col min="6" max="6" width="23.8166666666667" style="547" customWidth="1"/>
    <col min="7" max="12" width="18.5416666666667" style="547" customWidth="1"/>
    <col min="13" max="16380" width="11.45" style="546"/>
    <col min="16381" max="16384" width="11.45" style="548"/>
  </cols>
  <sheetData>
    <row r="1" s="542" customFormat="1" ht="23.25" customHeight="1" spans="1:12">
      <c r="A1" s="549"/>
      <c r="B1" s="549"/>
      <c r="C1" s="550"/>
      <c r="D1" s="551"/>
      <c r="E1" s="550"/>
      <c r="F1" s="552" t="s">
        <v>2924</v>
      </c>
      <c r="G1" s="553">
        <v>45820</v>
      </c>
      <c r="H1" s="553">
        <v>45898</v>
      </c>
      <c r="I1" s="553">
        <v>45950</v>
      </c>
      <c r="J1" s="599"/>
      <c r="K1" s="599"/>
      <c r="L1" s="599"/>
    </row>
    <row r="2" s="542" customFormat="1" ht="23.25" customHeight="1" spans="1:12">
      <c r="A2" s="549"/>
      <c r="B2" s="549"/>
      <c r="C2" s="550"/>
      <c r="D2" s="551"/>
      <c r="E2" s="551"/>
      <c r="F2" s="554" t="s">
        <v>2925</v>
      </c>
      <c r="G2" s="554" t="s">
        <v>2926</v>
      </c>
      <c r="H2" s="554" t="s">
        <v>2927</v>
      </c>
      <c r="I2" s="554" t="s">
        <v>2928</v>
      </c>
      <c r="J2" s="555"/>
      <c r="K2" s="555"/>
      <c r="L2" s="555"/>
    </row>
    <row r="3" s="542" customFormat="1" ht="23.25" customHeight="1" spans="1:12">
      <c r="A3" s="549"/>
      <c r="B3" s="549"/>
      <c r="C3" s="550"/>
      <c r="D3" s="551"/>
      <c r="E3" s="551"/>
      <c r="F3" s="552" t="s">
        <v>2929</v>
      </c>
      <c r="G3" s="553">
        <v>45894</v>
      </c>
      <c r="H3" s="553">
        <v>45943</v>
      </c>
      <c r="I3" s="553">
        <v>45995</v>
      </c>
      <c r="J3" s="600"/>
      <c r="K3" s="599"/>
      <c r="L3" s="599"/>
    </row>
    <row r="4" s="543" customFormat="1" ht="22" customHeight="1" spans="1:12">
      <c r="A4" s="549"/>
      <c r="B4" s="549"/>
      <c r="C4" s="550"/>
      <c r="D4" s="551"/>
      <c r="E4" s="551"/>
      <c r="F4" s="554"/>
      <c r="G4" s="554" t="s">
        <v>2705</v>
      </c>
      <c r="H4" s="555"/>
      <c r="I4" s="555"/>
      <c r="J4" s="555"/>
      <c r="K4" s="555"/>
      <c r="L4" s="555"/>
    </row>
    <row r="5" s="542" customFormat="1" ht="27" customHeight="1" spans="1:16">
      <c r="A5" s="556"/>
      <c r="B5" s="557" t="s">
        <v>2701</v>
      </c>
      <c r="C5" s="558"/>
      <c r="D5" s="557" t="s">
        <v>2705</v>
      </c>
      <c r="E5" s="559"/>
      <c r="F5" s="559"/>
      <c r="G5" s="559"/>
      <c r="H5" s="559"/>
      <c r="I5" s="559"/>
      <c r="J5" s="559" t="s">
        <v>2706</v>
      </c>
      <c r="K5" s="559" t="s">
        <v>2708</v>
      </c>
      <c r="L5" s="559" t="s">
        <v>2930</v>
      </c>
      <c r="M5" s="601" t="s">
        <v>2931</v>
      </c>
      <c r="N5" s="601" t="s">
        <v>133</v>
      </c>
      <c r="O5" s="601" t="s">
        <v>2932</v>
      </c>
      <c r="P5" s="601"/>
    </row>
    <row r="6" s="543" customFormat="1" ht="23.15" customHeight="1" spans="1:16">
      <c r="A6" s="560" t="s">
        <v>2710</v>
      </c>
      <c r="B6" s="561" t="s">
        <v>2710</v>
      </c>
      <c r="C6" s="562"/>
      <c r="D6" s="563"/>
      <c r="E6" s="564" t="s">
        <v>2850</v>
      </c>
      <c r="F6" s="565"/>
      <c r="G6" s="566">
        <v>420000</v>
      </c>
      <c r="H6" s="566">
        <v>440000</v>
      </c>
      <c r="I6" s="566">
        <v>440000</v>
      </c>
      <c r="J6" s="566">
        <f>SUM(G6:I6)</f>
        <v>1300000</v>
      </c>
      <c r="K6" s="566">
        <f>'77770 S4 明细'!AI285</f>
        <v>1060986</v>
      </c>
      <c r="L6" s="566">
        <f>J6-K6</f>
        <v>239014</v>
      </c>
      <c r="M6" s="602"/>
      <c r="N6" s="602"/>
      <c r="O6" s="602"/>
      <c r="P6" s="602"/>
    </row>
    <row r="7" s="543" customFormat="1" ht="26.25" customHeight="1" spans="1:16">
      <c r="A7" s="567"/>
      <c r="B7" s="568"/>
      <c r="C7" s="569" t="s">
        <v>2716</v>
      </c>
      <c r="D7" s="570" t="s">
        <v>2717</v>
      </c>
      <c r="E7" s="570" t="s">
        <v>2718</v>
      </c>
      <c r="F7" s="570" t="s">
        <v>2719</v>
      </c>
      <c r="G7" s="571"/>
      <c r="H7" s="571"/>
      <c r="I7" s="571"/>
      <c r="J7" s="571"/>
      <c r="K7" s="571"/>
      <c r="L7" s="571"/>
      <c r="M7" s="602" t="s">
        <v>2933</v>
      </c>
      <c r="N7" s="602">
        <f>J32</f>
        <v>42000</v>
      </c>
      <c r="O7" s="602">
        <f>J35</f>
        <v>1000</v>
      </c>
      <c r="P7" s="602"/>
    </row>
    <row r="8" s="543" customFormat="1" ht="16" customHeight="1" spans="1:16">
      <c r="A8" s="572" t="s">
        <v>2934</v>
      </c>
      <c r="B8" s="573" t="s">
        <v>2181</v>
      </c>
      <c r="C8" s="573" t="s">
        <v>2241</v>
      </c>
      <c r="D8" s="574" t="s">
        <v>2935</v>
      </c>
      <c r="E8" s="574" t="s">
        <v>2936</v>
      </c>
      <c r="F8" s="574" t="s">
        <v>2937</v>
      </c>
      <c r="G8" s="566">
        <v>19005</v>
      </c>
      <c r="H8" s="566">
        <v>19910</v>
      </c>
      <c r="I8" s="566">
        <v>19910</v>
      </c>
      <c r="J8" s="566">
        <f>SUM(G8:I8)</f>
        <v>58825</v>
      </c>
      <c r="K8" s="566"/>
      <c r="L8" s="566"/>
      <c r="M8" s="602" t="s">
        <v>2938</v>
      </c>
      <c r="N8" s="602">
        <f>'77770 S4 明细'!AW285</f>
        <v>13939</v>
      </c>
      <c r="O8" s="602"/>
      <c r="P8" s="602"/>
    </row>
    <row r="9" s="543" customFormat="1" ht="16.5" spans="1:15">
      <c r="A9" s="575"/>
      <c r="B9" s="576" t="s">
        <v>2185</v>
      </c>
      <c r="C9" s="576" t="s">
        <v>2858</v>
      </c>
      <c r="D9" s="574" t="s">
        <v>2939</v>
      </c>
      <c r="E9" s="574" t="s">
        <v>2940</v>
      </c>
      <c r="F9" s="574" t="s">
        <v>2941</v>
      </c>
      <c r="G9" s="566">
        <v>19005</v>
      </c>
      <c r="H9" s="566">
        <v>19910</v>
      </c>
      <c r="I9" s="566">
        <v>19910</v>
      </c>
      <c r="J9" s="566">
        <f t="shared" ref="J9:J38" si="0">SUM(G9:I9)</f>
        <v>58825</v>
      </c>
      <c r="K9" s="566"/>
      <c r="L9" s="566"/>
      <c r="M9" s="602" t="s">
        <v>2942</v>
      </c>
      <c r="N9" s="602">
        <f>N7-N8</f>
        <v>28061</v>
      </c>
      <c r="O9" s="602">
        <f>O7-O8</f>
        <v>1000</v>
      </c>
    </row>
    <row r="10" s="543" customFormat="1" ht="16.5" spans="1:16">
      <c r="A10" s="575"/>
      <c r="B10" s="576" t="s">
        <v>2189</v>
      </c>
      <c r="C10" s="576" t="s">
        <v>2207</v>
      </c>
      <c r="D10" s="574" t="s">
        <v>2943</v>
      </c>
      <c r="E10" s="574" t="s">
        <v>2944</v>
      </c>
      <c r="F10" s="574" t="s">
        <v>2945</v>
      </c>
      <c r="G10" s="566">
        <v>19005</v>
      </c>
      <c r="H10" s="566">
        <v>19910</v>
      </c>
      <c r="I10" s="566">
        <v>19910</v>
      </c>
      <c r="J10" s="566">
        <f t="shared" si="0"/>
        <v>58825</v>
      </c>
      <c r="K10" s="566"/>
      <c r="L10" s="566"/>
      <c r="M10" s="602"/>
      <c r="N10" s="602"/>
      <c r="O10" s="602"/>
      <c r="P10" s="602"/>
    </row>
    <row r="11" s="543" customFormat="1" ht="16.5" spans="1:12">
      <c r="A11" s="575"/>
      <c r="B11" s="576" t="s">
        <v>2193</v>
      </c>
      <c r="C11" s="576" t="s">
        <v>2867</v>
      </c>
      <c r="D11" s="574" t="s">
        <v>2946</v>
      </c>
      <c r="E11" s="574" t="s">
        <v>2947</v>
      </c>
      <c r="F11" s="574" t="s">
        <v>2948</v>
      </c>
      <c r="G11" s="566">
        <v>19005</v>
      </c>
      <c r="H11" s="566">
        <v>19910</v>
      </c>
      <c r="I11" s="566">
        <v>19910</v>
      </c>
      <c r="J11" s="566">
        <f t="shared" si="0"/>
        <v>58825</v>
      </c>
      <c r="K11" s="566"/>
      <c r="L11" s="566"/>
    </row>
    <row r="12" s="543" customFormat="1" ht="16.5" spans="1:12">
      <c r="A12" s="575"/>
      <c r="B12" s="576" t="s">
        <v>2197</v>
      </c>
      <c r="C12" s="576" t="s">
        <v>2870</v>
      </c>
      <c r="D12" s="574" t="s">
        <v>2949</v>
      </c>
      <c r="E12" s="574" t="s">
        <v>2950</v>
      </c>
      <c r="F12" s="574" t="s">
        <v>2951</v>
      </c>
      <c r="G12" s="566">
        <v>19005</v>
      </c>
      <c r="H12" s="566">
        <v>19910</v>
      </c>
      <c r="I12" s="566">
        <v>19910</v>
      </c>
      <c r="J12" s="566">
        <f t="shared" si="0"/>
        <v>58825</v>
      </c>
      <c r="K12" s="566"/>
      <c r="L12" s="566"/>
    </row>
    <row r="13" s="543" customFormat="1" ht="16.5" spans="1:12">
      <c r="A13" s="575"/>
      <c r="B13" s="576" t="s">
        <v>2200</v>
      </c>
      <c r="C13" s="576" t="s">
        <v>2874</v>
      </c>
      <c r="D13" s="574" t="s">
        <v>2952</v>
      </c>
      <c r="E13" s="574" t="s">
        <v>2953</v>
      </c>
      <c r="F13" s="574" t="s">
        <v>2954</v>
      </c>
      <c r="G13" s="566">
        <v>19005</v>
      </c>
      <c r="H13" s="566">
        <v>19910</v>
      </c>
      <c r="I13" s="566">
        <v>19910</v>
      </c>
      <c r="J13" s="566">
        <f t="shared" si="0"/>
        <v>58825</v>
      </c>
      <c r="K13" s="566"/>
      <c r="L13" s="566"/>
    </row>
    <row r="14" s="543" customFormat="1" ht="16.5" spans="1:12">
      <c r="A14" s="575"/>
      <c r="B14" s="576" t="s">
        <v>2204</v>
      </c>
      <c r="C14" s="577" t="s">
        <v>2878</v>
      </c>
      <c r="D14" s="578" t="s">
        <v>2955</v>
      </c>
      <c r="E14" s="578" t="s">
        <v>2956</v>
      </c>
      <c r="F14" s="578" t="s">
        <v>2957</v>
      </c>
      <c r="G14" s="566">
        <v>1910</v>
      </c>
      <c r="H14" s="566">
        <v>2000</v>
      </c>
      <c r="I14" s="566">
        <v>2000</v>
      </c>
      <c r="J14" s="566">
        <f t="shared" si="0"/>
        <v>5910</v>
      </c>
      <c r="K14" s="566"/>
      <c r="L14" s="566"/>
    </row>
    <row r="15" s="543" customFormat="1" ht="16.5" spans="1:12">
      <c r="A15" s="575"/>
      <c r="B15" s="576" t="s">
        <v>2208</v>
      </c>
      <c r="C15" s="576" t="s">
        <v>2880</v>
      </c>
      <c r="D15" s="574" t="s">
        <v>2958</v>
      </c>
      <c r="E15" s="574" t="s">
        <v>2959</v>
      </c>
      <c r="F15" s="574" t="s">
        <v>2960</v>
      </c>
      <c r="G15" s="566">
        <v>19005</v>
      </c>
      <c r="H15" s="566">
        <v>19910</v>
      </c>
      <c r="I15" s="566">
        <v>19910</v>
      </c>
      <c r="J15" s="566">
        <f t="shared" si="0"/>
        <v>58825</v>
      </c>
      <c r="K15" s="566"/>
      <c r="L15" s="566"/>
    </row>
    <row r="16" s="543" customFormat="1" ht="16.5" spans="1:12">
      <c r="A16" s="575"/>
      <c r="B16" s="576" t="s">
        <v>2212</v>
      </c>
      <c r="C16" s="576" t="s">
        <v>2882</v>
      </c>
      <c r="D16" s="574" t="s">
        <v>2961</v>
      </c>
      <c r="E16" s="574" t="s">
        <v>2962</v>
      </c>
      <c r="F16" s="574" t="s">
        <v>2963</v>
      </c>
      <c r="G16" s="566">
        <v>19005</v>
      </c>
      <c r="H16" s="566">
        <v>19910</v>
      </c>
      <c r="I16" s="566">
        <v>19910</v>
      </c>
      <c r="J16" s="566">
        <f t="shared" si="0"/>
        <v>58825</v>
      </c>
      <c r="K16" s="566"/>
      <c r="L16" s="566"/>
    </row>
    <row r="17" s="543" customFormat="1" ht="16.5" spans="1:12">
      <c r="A17" s="575"/>
      <c r="B17" s="576" t="s">
        <v>2216</v>
      </c>
      <c r="C17" s="576" t="s">
        <v>2884</v>
      </c>
      <c r="D17" s="574" t="s">
        <v>2964</v>
      </c>
      <c r="E17" s="574" t="s">
        <v>2965</v>
      </c>
      <c r="F17" s="574" t="s">
        <v>2966</v>
      </c>
      <c r="G17" s="566">
        <v>19005</v>
      </c>
      <c r="H17" s="566">
        <v>19910</v>
      </c>
      <c r="I17" s="566">
        <v>19910</v>
      </c>
      <c r="J17" s="566">
        <f t="shared" si="0"/>
        <v>58825</v>
      </c>
      <c r="K17" s="566"/>
      <c r="L17" s="566"/>
    </row>
    <row r="18" s="543" customFormat="1" ht="16.5" spans="1:12">
      <c r="A18" s="575"/>
      <c r="B18" s="576" t="s">
        <v>2219</v>
      </c>
      <c r="C18" s="576" t="s">
        <v>2886</v>
      </c>
      <c r="D18" s="574" t="s">
        <v>2967</v>
      </c>
      <c r="E18" s="574" t="s">
        <v>2968</v>
      </c>
      <c r="F18" s="574" t="s">
        <v>2969</v>
      </c>
      <c r="G18" s="566">
        <v>19005</v>
      </c>
      <c r="H18" s="566">
        <v>19910</v>
      </c>
      <c r="I18" s="566">
        <v>19910</v>
      </c>
      <c r="J18" s="566">
        <f t="shared" si="0"/>
        <v>58825</v>
      </c>
      <c r="K18" s="566"/>
      <c r="L18" s="566"/>
    </row>
    <row r="19" s="543" customFormat="1" ht="16.5" spans="1:12">
      <c r="A19" s="575"/>
      <c r="B19" s="576" t="s">
        <v>2223</v>
      </c>
      <c r="C19" s="576" t="s">
        <v>2888</v>
      </c>
      <c r="D19" s="574" t="s">
        <v>2970</v>
      </c>
      <c r="E19" s="574" t="s">
        <v>2971</v>
      </c>
      <c r="F19" s="574" t="s">
        <v>2972</v>
      </c>
      <c r="G19" s="566">
        <v>19005</v>
      </c>
      <c r="H19" s="566">
        <v>19910</v>
      </c>
      <c r="I19" s="566">
        <v>19910</v>
      </c>
      <c r="J19" s="566">
        <f t="shared" si="0"/>
        <v>58825</v>
      </c>
      <c r="K19" s="566"/>
      <c r="L19" s="566"/>
    </row>
    <row r="20" s="543" customFormat="1" ht="16.5" spans="1:12">
      <c r="A20" s="575"/>
      <c r="B20" s="576" t="s">
        <v>2227</v>
      </c>
      <c r="C20" s="576" t="s">
        <v>2890</v>
      </c>
      <c r="D20" s="574" t="s">
        <v>2973</v>
      </c>
      <c r="E20" s="574" t="s">
        <v>2974</v>
      </c>
      <c r="F20" s="574" t="s">
        <v>2975</v>
      </c>
      <c r="G20" s="566">
        <v>19005</v>
      </c>
      <c r="H20" s="566">
        <v>19910</v>
      </c>
      <c r="I20" s="566">
        <v>19910</v>
      </c>
      <c r="J20" s="566">
        <f t="shared" si="0"/>
        <v>58825</v>
      </c>
      <c r="K20" s="566"/>
      <c r="L20" s="566"/>
    </row>
    <row r="21" s="543" customFormat="1" ht="16.5" spans="1:12">
      <c r="A21" s="575"/>
      <c r="B21" s="576" t="s">
        <v>2231</v>
      </c>
      <c r="C21" s="576" t="s">
        <v>2892</v>
      </c>
      <c r="D21" s="574" t="s">
        <v>2976</v>
      </c>
      <c r="E21" s="574" t="s">
        <v>2977</v>
      </c>
      <c r="F21" s="574" t="s">
        <v>2978</v>
      </c>
      <c r="G21" s="566">
        <v>19005</v>
      </c>
      <c r="H21" s="566">
        <v>19910</v>
      </c>
      <c r="I21" s="566">
        <v>19910</v>
      </c>
      <c r="J21" s="566">
        <f t="shared" si="0"/>
        <v>58825</v>
      </c>
      <c r="K21" s="566"/>
      <c r="L21" s="566"/>
    </row>
    <row r="22" s="543" customFormat="1" ht="16.5" spans="1:12">
      <c r="A22" s="575"/>
      <c r="B22" s="576" t="s">
        <v>2234</v>
      </c>
      <c r="C22" s="576" t="s">
        <v>2894</v>
      </c>
      <c r="D22" s="574" t="s">
        <v>2979</v>
      </c>
      <c r="E22" s="574" t="s">
        <v>2980</v>
      </c>
      <c r="F22" s="574" t="s">
        <v>2981</v>
      </c>
      <c r="G22" s="566">
        <v>19005</v>
      </c>
      <c r="H22" s="566">
        <v>19910</v>
      </c>
      <c r="I22" s="566">
        <v>19910</v>
      </c>
      <c r="J22" s="566">
        <f t="shared" si="0"/>
        <v>58825</v>
      </c>
      <c r="K22" s="566"/>
      <c r="L22" s="566"/>
    </row>
    <row r="23" s="543" customFormat="1" ht="16.5" spans="1:12">
      <c r="A23" s="575"/>
      <c r="B23" s="576" t="s">
        <v>2238</v>
      </c>
      <c r="C23" s="576" t="s">
        <v>2896</v>
      </c>
      <c r="D23" s="574" t="s">
        <v>2967</v>
      </c>
      <c r="E23" s="574" t="s">
        <v>2969</v>
      </c>
      <c r="F23" s="574" t="s">
        <v>2982</v>
      </c>
      <c r="G23" s="566">
        <v>19005</v>
      </c>
      <c r="H23" s="566">
        <v>19910</v>
      </c>
      <c r="I23" s="566">
        <v>19910</v>
      </c>
      <c r="J23" s="566">
        <f t="shared" si="0"/>
        <v>58825</v>
      </c>
      <c r="K23" s="566"/>
      <c r="L23" s="566"/>
    </row>
    <row r="24" s="543" customFormat="1" ht="16.5" spans="1:12">
      <c r="A24" s="575"/>
      <c r="B24" s="576" t="s">
        <v>2242</v>
      </c>
      <c r="C24" s="576" t="s">
        <v>2898</v>
      </c>
      <c r="D24" s="574" t="s">
        <v>2983</v>
      </c>
      <c r="E24" s="574" t="s">
        <v>2984</v>
      </c>
      <c r="F24" s="574" t="s">
        <v>2985</v>
      </c>
      <c r="G24" s="566">
        <v>19005</v>
      </c>
      <c r="H24" s="566">
        <v>19910</v>
      </c>
      <c r="I24" s="566">
        <v>19910</v>
      </c>
      <c r="J24" s="566">
        <f t="shared" si="0"/>
        <v>58825</v>
      </c>
      <c r="K24" s="566"/>
      <c r="L24" s="566"/>
    </row>
    <row r="25" s="543" customFormat="1" ht="16.5" spans="1:12">
      <c r="A25" s="575"/>
      <c r="B25" s="576" t="s">
        <v>2246</v>
      </c>
      <c r="C25" s="576" t="s">
        <v>2900</v>
      </c>
      <c r="D25" s="574" t="s">
        <v>2986</v>
      </c>
      <c r="E25" s="574" t="s">
        <v>2987</v>
      </c>
      <c r="F25" s="574" t="s">
        <v>2988</v>
      </c>
      <c r="G25" s="566">
        <v>19005</v>
      </c>
      <c r="H25" s="566">
        <v>19910</v>
      </c>
      <c r="I25" s="566">
        <v>19910</v>
      </c>
      <c r="J25" s="566">
        <f t="shared" si="0"/>
        <v>58825</v>
      </c>
      <c r="K25" s="566"/>
      <c r="L25" s="566"/>
    </row>
    <row r="26" s="543" customFormat="1" ht="16.5" spans="1:12">
      <c r="A26" s="575"/>
      <c r="B26" s="576" t="s">
        <v>2250</v>
      </c>
      <c r="C26" s="576" t="s">
        <v>2902</v>
      </c>
      <c r="D26" s="574" t="s">
        <v>2989</v>
      </c>
      <c r="E26" s="574" t="s">
        <v>2990</v>
      </c>
      <c r="F26" s="574" t="s">
        <v>2991</v>
      </c>
      <c r="G26" s="566">
        <v>19005</v>
      </c>
      <c r="H26" s="566">
        <v>19910</v>
      </c>
      <c r="I26" s="566">
        <v>19910</v>
      </c>
      <c r="J26" s="566">
        <f t="shared" si="0"/>
        <v>58825</v>
      </c>
      <c r="K26" s="566"/>
      <c r="L26" s="566"/>
    </row>
    <row r="27" s="543" customFormat="1" ht="16.5" spans="1:12">
      <c r="A27" s="575"/>
      <c r="B27" s="576" t="s">
        <v>2253</v>
      </c>
      <c r="C27" s="576" t="s">
        <v>2215</v>
      </c>
      <c r="D27" s="574" t="s">
        <v>2992</v>
      </c>
      <c r="E27" s="574" t="s">
        <v>2993</v>
      </c>
      <c r="F27" s="574" t="s">
        <v>2994</v>
      </c>
      <c r="G27" s="566">
        <v>19005</v>
      </c>
      <c r="H27" s="566">
        <v>19910</v>
      </c>
      <c r="I27" s="566">
        <v>19910</v>
      </c>
      <c r="J27" s="566">
        <f t="shared" si="0"/>
        <v>58825</v>
      </c>
      <c r="K27" s="566"/>
      <c r="L27" s="566"/>
    </row>
    <row r="28" s="543" customFormat="1" ht="16.5" spans="1:12">
      <c r="A28" s="575"/>
      <c r="B28" s="576" t="s">
        <v>2256</v>
      </c>
      <c r="C28" s="576" t="s">
        <v>2905</v>
      </c>
      <c r="D28" s="574" t="s">
        <v>2995</v>
      </c>
      <c r="E28" s="574" t="s">
        <v>2996</v>
      </c>
      <c r="F28" s="574" t="s">
        <v>2997</v>
      </c>
      <c r="G28" s="566">
        <v>19005</v>
      </c>
      <c r="H28" s="566">
        <v>19910</v>
      </c>
      <c r="I28" s="566">
        <v>19910</v>
      </c>
      <c r="J28" s="566">
        <f t="shared" si="0"/>
        <v>58825</v>
      </c>
      <c r="K28" s="566"/>
      <c r="L28" s="566"/>
    </row>
    <row r="29" s="543" customFormat="1" ht="16.5" spans="1:12">
      <c r="A29" s="575"/>
      <c r="B29" s="576" t="s">
        <v>2258</v>
      </c>
      <c r="C29" s="576" t="s">
        <v>2998</v>
      </c>
      <c r="D29" s="574" t="s">
        <v>2986</v>
      </c>
      <c r="E29" s="574" t="s">
        <v>2999</v>
      </c>
      <c r="F29" s="574" t="s">
        <v>3000</v>
      </c>
      <c r="G29" s="566">
        <v>19005</v>
      </c>
      <c r="H29" s="566">
        <v>19910</v>
      </c>
      <c r="I29" s="566">
        <v>19910</v>
      </c>
      <c r="J29" s="566">
        <f t="shared" si="0"/>
        <v>58825</v>
      </c>
      <c r="K29" s="566"/>
      <c r="L29" s="566"/>
    </row>
    <row r="30" s="543" customFormat="1" ht="16.5" spans="1:12">
      <c r="A30" s="579"/>
      <c r="B30" s="576" t="s">
        <v>2769</v>
      </c>
      <c r="C30" s="576" t="s">
        <v>3001</v>
      </c>
      <c r="D30" s="574" t="s">
        <v>3002</v>
      </c>
      <c r="E30" s="574" t="s">
        <v>3003</v>
      </c>
      <c r="F30" s="574" t="s">
        <v>3004</v>
      </c>
      <c r="G30" s="566">
        <v>19005</v>
      </c>
      <c r="H30" s="566">
        <v>19910</v>
      </c>
      <c r="I30" s="566">
        <v>19910</v>
      </c>
      <c r="J30" s="566">
        <f t="shared" si="0"/>
        <v>58825</v>
      </c>
      <c r="K30" s="566"/>
      <c r="L30" s="566"/>
    </row>
    <row r="31" s="543" customFormat="1" ht="16" customHeight="1" spans="1:12">
      <c r="A31" s="580" t="s">
        <v>3005</v>
      </c>
      <c r="B31" s="580" t="s">
        <v>2913</v>
      </c>
      <c r="C31" s="581" t="s">
        <v>3006</v>
      </c>
      <c r="D31" s="580"/>
      <c r="E31" s="582"/>
      <c r="F31" s="582"/>
      <c r="G31" s="566">
        <v>16000</v>
      </c>
      <c r="H31" s="566">
        <v>12000</v>
      </c>
      <c r="I31" s="566">
        <v>14000</v>
      </c>
      <c r="J31" s="566">
        <f t="shared" si="0"/>
        <v>42000</v>
      </c>
      <c r="K31" s="566">
        <f>'77770 S4 明细'!$BT$285</f>
        <v>31288</v>
      </c>
      <c r="L31" s="566">
        <f t="shared" ref="L31:L38" si="1">J31-K31</f>
        <v>10712</v>
      </c>
    </row>
    <row r="32" s="543" customFormat="1" ht="16" customHeight="1" spans="1:12">
      <c r="A32" s="580"/>
      <c r="B32" s="580" t="s">
        <v>2913</v>
      </c>
      <c r="C32" s="580" t="s">
        <v>3007</v>
      </c>
      <c r="D32" s="580"/>
      <c r="E32" s="582"/>
      <c r="F32" s="582"/>
      <c r="G32" s="566">
        <v>16000</v>
      </c>
      <c r="H32" s="566">
        <v>12000</v>
      </c>
      <c r="I32" s="566">
        <v>14000</v>
      </c>
      <c r="J32" s="566">
        <f t="shared" si="0"/>
        <v>42000</v>
      </c>
      <c r="K32" s="566">
        <f>'77770 S4 明细'!$BT$285</f>
        <v>31288</v>
      </c>
      <c r="L32" s="566">
        <f t="shared" si="1"/>
        <v>10712</v>
      </c>
    </row>
    <row r="33" s="543" customFormat="1" ht="16" customHeight="1" spans="1:12">
      <c r="A33" s="580"/>
      <c r="B33" s="580" t="s">
        <v>2913</v>
      </c>
      <c r="C33" s="580" t="s">
        <v>3008</v>
      </c>
      <c r="D33" s="580"/>
      <c r="E33" s="582"/>
      <c r="F33" s="582"/>
      <c r="G33" s="566">
        <v>16000</v>
      </c>
      <c r="H33" s="566">
        <v>12000</v>
      </c>
      <c r="I33" s="566">
        <v>14000</v>
      </c>
      <c r="J33" s="566">
        <f t="shared" si="0"/>
        <v>42000</v>
      </c>
      <c r="K33" s="566">
        <f>'77770 S4 明细'!$BT$285</f>
        <v>31288</v>
      </c>
      <c r="L33" s="566">
        <f t="shared" si="1"/>
        <v>10712</v>
      </c>
    </row>
    <row r="34" s="543" customFormat="1" ht="16.5" spans="1:12">
      <c r="A34" s="583"/>
      <c r="B34" s="580" t="s">
        <v>2913</v>
      </c>
      <c r="C34" s="580"/>
      <c r="D34" s="580" t="s">
        <v>3009</v>
      </c>
      <c r="E34" s="582"/>
      <c r="F34" s="582"/>
      <c r="G34" s="566">
        <v>16000</v>
      </c>
      <c r="H34" s="566">
        <v>12000</v>
      </c>
      <c r="I34" s="566">
        <v>14000</v>
      </c>
      <c r="J34" s="566">
        <f t="shared" si="0"/>
        <v>42000</v>
      </c>
      <c r="K34" s="566">
        <f>'77770 S4 明细'!$BT$285</f>
        <v>31288</v>
      </c>
      <c r="L34" s="566">
        <f t="shared" si="1"/>
        <v>10712</v>
      </c>
    </row>
    <row r="35" s="543" customFormat="1" ht="16" customHeight="1" spans="1:12">
      <c r="A35" s="584" t="s">
        <v>3010</v>
      </c>
      <c r="B35" s="580" t="s">
        <v>2913</v>
      </c>
      <c r="C35" s="580" t="s">
        <v>3011</v>
      </c>
      <c r="D35" s="580"/>
      <c r="E35" s="582"/>
      <c r="F35" s="582"/>
      <c r="G35" s="566">
        <v>1000</v>
      </c>
      <c r="H35" s="566"/>
      <c r="I35" s="566">
        <v>0</v>
      </c>
      <c r="J35" s="566">
        <f t="shared" si="0"/>
        <v>1000</v>
      </c>
      <c r="K35" s="566">
        <f>'77770 S4 明细'!$BU$285</f>
        <v>931</v>
      </c>
      <c r="L35" s="566">
        <f t="shared" si="1"/>
        <v>69</v>
      </c>
    </row>
    <row r="36" s="543" customFormat="1" ht="16" customHeight="1" spans="1:12">
      <c r="A36" s="585"/>
      <c r="B36" s="580" t="s">
        <v>2913</v>
      </c>
      <c r="C36" s="580"/>
      <c r="D36" s="580" t="s">
        <v>3009</v>
      </c>
      <c r="E36" s="582"/>
      <c r="F36" s="582"/>
      <c r="G36" s="566">
        <v>1000</v>
      </c>
      <c r="H36" s="566"/>
      <c r="I36" s="566">
        <v>0</v>
      </c>
      <c r="J36" s="566">
        <f t="shared" si="0"/>
        <v>1000</v>
      </c>
      <c r="K36" s="566">
        <f>'77770 S4 明细'!$BU$285</f>
        <v>931</v>
      </c>
      <c r="L36" s="566">
        <f t="shared" si="1"/>
        <v>69</v>
      </c>
    </row>
    <row r="37" s="543" customFormat="1" ht="16.5" spans="1:12">
      <c r="A37" s="585"/>
      <c r="B37" s="580" t="s">
        <v>2913</v>
      </c>
      <c r="C37" s="580"/>
      <c r="D37" s="580"/>
      <c r="E37" s="580" t="s">
        <v>3012</v>
      </c>
      <c r="F37" s="582"/>
      <c r="G37" s="566">
        <v>1000</v>
      </c>
      <c r="H37" s="566"/>
      <c r="I37" s="566">
        <v>0</v>
      </c>
      <c r="J37" s="566">
        <f t="shared" si="0"/>
        <v>1000</v>
      </c>
      <c r="K37" s="566">
        <f>'77770 S4 明细'!$BU$285</f>
        <v>931</v>
      </c>
      <c r="L37" s="566">
        <f t="shared" si="1"/>
        <v>69</v>
      </c>
    </row>
    <row r="38" s="543" customFormat="1" ht="16" customHeight="1" spans="1:12">
      <c r="A38" s="586"/>
      <c r="B38" s="580" t="s">
        <v>2913</v>
      </c>
      <c r="C38" s="580"/>
      <c r="D38" s="580"/>
      <c r="E38" s="580" t="s">
        <v>3013</v>
      </c>
      <c r="F38" s="582"/>
      <c r="G38" s="566">
        <v>1000</v>
      </c>
      <c r="H38" s="566"/>
      <c r="I38" s="566">
        <v>0</v>
      </c>
      <c r="J38" s="566">
        <f t="shared" si="0"/>
        <v>1000</v>
      </c>
      <c r="K38" s="566">
        <f>'77770 S4 明细'!$BU$285</f>
        <v>931</v>
      </c>
      <c r="L38" s="566">
        <f t="shared" si="1"/>
        <v>69</v>
      </c>
    </row>
    <row r="39" s="543" customFormat="1" ht="26.25" customHeight="1" spans="1:12">
      <c r="A39" s="587"/>
      <c r="B39" s="588" t="s">
        <v>2848</v>
      </c>
      <c r="C39" s="589"/>
      <c r="D39" s="590"/>
      <c r="E39" s="591"/>
      <c r="F39" s="591"/>
      <c r="G39" s="592">
        <f>SUM(G8:G38)</f>
        <v>488020</v>
      </c>
      <c r="H39" s="592">
        <f>SUM(H8:H38)</f>
        <v>488020</v>
      </c>
      <c r="I39" s="592">
        <f>SUM(I8:I38)</f>
        <v>496020</v>
      </c>
      <c r="J39" s="592">
        <f>SUM(G39:H39)</f>
        <v>976040</v>
      </c>
      <c r="K39" s="592"/>
      <c r="L39" s="592"/>
    </row>
    <row r="40" s="543" customFormat="1" ht="52" customHeight="1" spans="1:12">
      <c r="A40" s="593" t="s">
        <v>20</v>
      </c>
      <c r="B40" s="593"/>
      <c r="C40" s="594" t="s">
        <v>3014</v>
      </c>
      <c r="D40" s="595"/>
      <c r="E40" s="595"/>
      <c r="F40" s="595"/>
      <c r="G40" s="595"/>
      <c r="H40" s="595"/>
      <c r="I40" s="595"/>
      <c r="J40" s="595"/>
      <c r="K40" s="595"/>
      <c r="L40" s="595"/>
    </row>
    <row r="41" s="544" customFormat="1" ht="21" customHeight="1" spans="1:12">
      <c r="A41" s="596"/>
      <c r="B41" s="596"/>
      <c r="C41" s="596"/>
      <c r="D41" s="596"/>
      <c r="E41" s="596"/>
      <c r="F41" s="596"/>
      <c r="G41" s="596"/>
      <c r="H41" s="596"/>
      <c r="I41" s="596"/>
      <c r="J41" s="596"/>
      <c r="K41" s="596"/>
      <c r="L41" s="596"/>
    </row>
    <row r="42" s="545" customFormat="1" ht="21" customHeight="1" spans="1:6">
      <c r="A42" s="545" t="s">
        <v>2921</v>
      </c>
      <c r="E42" s="597"/>
      <c r="F42" s="597"/>
    </row>
    <row r="43" s="545" customFormat="1" ht="21" customHeight="1"/>
    <row r="44" s="545" customFormat="1" ht="21" customHeight="1"/>
    <row r="45" s="545" customFormat="1" ht="21" customHeight="1"/>
    <row r="46" s="545" customFormat="1" ht="18.75" customHeight="1" spans="1:4">
      <c r="A46" s="598" t="s">
        <v>2923</v>
      </c>
      <c r="B46" s="598"/>
      <c r="C46" s="598"/>
      <c r="D46" s="598"/>
    </row>
  </sheetData>
  <mergeCells count="8">
    <mergeCell ref="B5:C5"/>
    <mergeCell ref="D5:G5"/>
    <mergeCell ref="B6:C6"/>
    <mergeCell ref="A40:B40"/>
    <mergeCell ref="C40:G40"/>
    <mergeCell ref="A8:A30"/>
    <mergeCell ref="A31:A34"/>
    <mergeCell ref="A35:A38"/>
  </mergeCells>
  <pageMargins left="0.75" right="0.75" top="1" bottom="1" header="0.5" footer="0.5"/>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P111"/>
  <sheetViews>
    <sheetView zoomScale="80" zoomScaleNormal="80" workbookViewId="0">
      <pane xSplit="7" ySplit="4" topLeftCell="AB87" activePane="bottomRight" state="frozen"/>
      <selection/>
      <selection pane="topRight"/>
      <selection pane="bottomLeft"/>
      <selection pane="bottomRight" activeCell="H213" sqref="H213"/>
    </sheetView>
  </sheetViews>
  <sheetFormatPr defaultColWidth="9" defaultRowHeight="30" customHeight="1"/>
  <cols>
    <col min="1" max="1" width="16.0916666666667" style="295" customWidth="1"/>
    <col min="2" max="2" width="15.4416666666667" style="295" customWidth="1"/>
    <col min="3" max="4" width="11.9083333333333" style="295" customWidth="1"/>
    <col min="5" max="5" width="19.6333333333333" style="295" customWidth="1"/>
    <col min="6" max="6" width="10.4416666666667" style="295" customWidth="1"/>
    <col min="7" max="7" width="10.9083333333333" style="297" customWidth="1"/>
    <col min="8" max="8" width="11.4416666666667" style="297" customWidth="1"/>
    <col min="9" max="9" width="11.0916666666667" style="297" customWidth="1"/>
    <col min="10" max="10" width="10.0916666666667" style="297" customWidth="1"/>
    <col min="11" max="11" width="11" style="297" customWidth="1"/>
    <col min="12" max="13" width="13.35" style="297" customWidth="1"/>
    <col min="14" max="14" width="20" style="297" customWidth="1"/>
    <col min="15" max="15" width="17.4583333333333" style="298" customWidth="1"/>
    <col min="16" max="18" width="12" style="298" customWidth="1" outlineLevel="1"/>
    <col min="19" max="20" width="14" style="298" customWidth="1" outlineLevel="1"/>
    <col min="21" max="21" width="14" style="298" customWidth="1"/>
    <col min="22" max="23" width="14" style="298" customWidth="1" outlineLevel="1" collapsed="1"/>
    <col min="24" max="24" width="12" style="299" customWidth="1"/>
    <col min="25" max="25" width="10" style="297" customWidth="1"/>
    <col min="26" max="27" width="11.9083333333333" style="297" customWidth="1"/>
    <col min="28" max="28" width="13.4416666666667" style="297" customWidth="1"/>
    <col min="29" max="29" width="11.175" style="297" customWidth="1"/>
    <col min="30" max="30" width="13.0916666666667" style="297" customWidth="1"/>
    <col min="31" max="31" width="13.4416666666667" style="297" customWidth="1"/>
    <col min="32" max="32" width="11.6333333333333" style="297" customWidth="1"/>
    <col min="33" max="33" width="11.175" style="297" customWidth="1"/>
    <col min="34" max="34" width="12.0916666666667" style="484" customWidth="1"/>
    <col min="35" max="37" width="11.9083333333333" style="300" customWidth="1"/>
    <col min="38" max="40" width="10.4416666666667" style="297" customWidth="1"/>
    <col min="41" max="41" width="13.9083333333333" style="300" customWidth="1"/>
    <col min="42" max="42" width="13.0916666666667" style="295" customWidth="1"/>
    <col min="43" max="16384" width="9" style="295"/>
  </cols>
  <sheetData>
    <row r="1" ht="17.75" customHeight="1" spans="15:23">
      <c r="O1" s="303" t="s">
        <v>3015</v>
      </c>
      <c r="P1" s="497">
        <v>45052</v>
      </c>
      <c r="Q1" s="359">
        <v>45121</v>
      </c>
      <c r="R1" s="359">
        <v>45162</v>
      </c>
      <c r="S1" s="359">
        <v>45247</v>
      </c>
      <c r="T1" s="359">
        <v>45267</v>
      </c>
      <c r="U1" s="359">
        <v>45370</v>
      </c>
      <c r="V1" s="359">
        <v>45401</v>
      </c>
      <c r="W1" s="359">
        <v>45478</v>
      </c>
    </row>
    <row r="2" ht="17.75" customHeight="1" spans="12:23">
      <c r="L2" s="297" t="s">
        <v>3016</v>
      </c>
      <c r="M2" s="297" t="s">
        <v>3017</v>
      </c>
      <c r="O2" s="305" t="s">
        <v>3018</v>
      </c>
      <c r="P2" s="498">
        <f t="shared" ref="P2:T2" si="0">P1+40</f>
        <v>45092</v>
      </c>
      <c r="Q2" s="361">
        <f t="shared" si="0"/>
        <v>45161</v>
      </c>
      <c r="R2" s="361">
        <f t="shared" si="0"/>
        <v>45202</v>
      </c>
      <c r="S2" s="361">
        <f t="shared" si="0"/>
        <v>45287</v>
      </c>
      <c r="T2" s="361">
        <f t="shared" si="0"/>
        <v>45307</v>
      </c>
      <c r="U2" s="361">
        <f>U1+65</f>
        <v>45435</v>
      </c>
      <c r="V2" s="361">
        <v>45471</v>
      </c>
      <c r="W2" s="359">
        <v>45548</v>
      </c>
    </row>
    <row r="3" ht="27.75" spans="1:36">
      <c r="A3" s="301"/>
      <c r="B3" s="302"/>
      <c r="C3" s="303"/>
      <c r="D3" s="305"/>
      <c r="E3" s="304"/>
      <c r="F3" s="305"/>
      <c r="G3" s="306"/>
      <c r="H3" s="306"/>
      <c r="I3" s="306"/>
      <c r="J3" s="362"/>
      <c r="K3" s="363" t="s">
        <v>3019</v>
      </c>
      <c r="L3" s="459">
        <v>105660</v>
      </c>
      <c r="M3" s="459">
        <f>1090303-105660</f>
        <v>984643</v>
      </c>
      <c r="N3" s="306"/>
      <c r="O3" s="366" t="s">
        <v>3020</v>
      </c>
      <c r="P3" s="499" t="s">
        <v>3021</v>
      </c>
      <c r="Q3" s="366" t="s">
        <v>3022</v>
      </c>
      <c r="R3" s="366" t="s">
        <v>3023</v>
      </c>
      <c r="S3" s="366" t="s">
        <v>3024</v>
      </c>
      <c r="T3" s="366" t="s">
        <v>3025</v>
      </c>
      <c r="U3" s="366" t="s">
        <v>3026</v>
      </c>
      <c r="V3" s="366" t="s">
        <v>3027</v>
      </c>
      <c r="W3" s="366" t="s">
        <v>3028</v>
      </c>
      <c r="AI3" s="417" t="s">
        <v>3029</v>
      </c>
      <c r="AJ3" s="417" t="s">
        <v>3030</v>
      </c>
    </row>
    <row r="4" s="296" customFormat="1" ht="47.15" customHeight="1" spans="1:42">
      <c r="A4" s="308" t="s">
        <v>3031</v>
      </c>
      <c r="B4" s="308" t="s">
        <v>3032</v>
      </c>
      <c r="C4" s="308" t="s">
        <v>3033</v>
      </c>
      <c r="D4" s="308" t="s">
        <v>3034</v>
      </c>
      <c r="E4" s="485" t="s">
        <v>3035</v>
      </c>
      <c r="F4" s="308" t="s">
        <v>3036</v>
      </c>
      <c r="G4" s="309" t="s">
        <v>3037</v>
      </c>
      <c r="H4" s="309" t="s">
        <v>3038</v>
      </c>
      <c r="I4" s="309" t="s">
        <v>3039</v>
      </c>
      <c r="J4" s="367" t="s">
        <v>3040</v>
      </c>
      <c r="K4" s="308" t="s">
        <v>3041</v>
      </c>
      <c r="L4" s="308" t="s">
        <v>3042</v>
      </c>
      <c r="M4" s="308" t="s">
        <v>3043</v>
      </c>
      <c r="N4" s="308" t="s">
        <v>3044</v>
      </c>
      <c r="O4" s="368" t="s">
        <v>3045</v>
      </c>
      <c r="P4" s="368" t="s">
        <v>3046</v>
      </c>
      <c r="Q4" s="368"/>
      <c r="R4" s="368"/>
      <c r="S4" s="368"/>
      <c r="T4" s="368"/>
      <c r="U4" s="368"/>
      <c r="V4" s="368"/>
      <c r="W4" s="368"/>
      <c r="X4" s="506" t="s">
        <v>3047</v>
      </c>
      <c r="Y4" s="368" t="s">
        <v>3048</v>
      </c>
      <c r="Z4" s="368" t="s">
        <v>3049</v>
      </c>
      <c r="AA4" s="507" t="s">
        <v>3050</v>
      </c>
      <c r="AB4" s="368" t="s">
        <v>3051</v>
      </c>
      <c r="AC4" s="368" t="s">
        <v>3052</v>
      </c>
      <c r="AD4" s="397" t="s">
        <v>3053</v>
      </c>
      <c r="AE4" s="368" t="s">
        <v>3054</v>
      </c>
      <c r="AF4" s="397" t="s">
        <v>3055</v>
      </c>
      <c r="AG4" s="514" t="s">
        <v>3056</v>
      </c>
      <c r="AH4" s="515" t="s">
        <v>3057</v>
      </c>
      <c r="AI4" s="419">
        <v>105660</v>
      </c>
      <c r="AJ4" s="419">
        <f>420000-105660+400000+300000+500000+400000+500000+500000</f>
        <v>2914340</v>
      </c>
      <c r="AK4" s="419" t="s">
        <v>3058</v>
      </c>
      <c r="AL4" s="420" t="s">
        <v>3059</v>
      </c>
      <c r="AM4" s="420" t="s">
        <v>3060</v>
      </c>
      <c r="AN4" s="420" t="s">
        <v>3061</v>
      </c>
      <c r="AO4" s="421" t="s">
        <v>3062</v>
      </c>
      <c r="AP4" s="296" t="s">
        <v>3063</v>
      </c>
    </row>
    <row r="5" customHeight="1" spans="1:41">
      <c r="A5" s="310"/>
      <c r="B5" s="372" t="s">
        <v>3064</v>
      </c>
      <c r="C5" s="312">
        <v>0.0208333333333333</v>
      </c>
      <c r="D5" s="312">
        <v>0.00454545454545455</v>
      </c>
      <c r="E5" s="486" t="s">
        <v>3065</v>
      </c>
      <c r="F5" s="487" t="s">
        <v>3066</v>
      </c>
      <c r="G5" s="488">
        <f>800-300</f>
        <v>500</v>
      </c>
      <c r="H5" s="316">
        <v>0.0039</v>
      </c>
      <c r="I5" s="317">
        <f t="shared" ref="I5:I7" si="1">G5/H5</f>
        <v>128205.128205128</v>
      </c>
      <c r="J5" s="369">
        <v>25.3</v>
      </c>
      <c r="K5" s="500" t="s">
        <v>3067</v>
      </c>
      <c r="L5" s="371">
        <f t="shared" ref="L5:L7" si="2">G5/C5/H5</f>
        <v>6153846.15384616</v>
      </c>
      <c r="M5" s="371">
        <f t="shared" ref="M5:M7" si="3">G5/H5/D5</f>
        <v>28205128.2051282</v>
      </c>
      <c r="N5" s="372"/>
      <c r="O5" s="373">
        <f t="shared" ref="O5:O68" si="4">C5*$L$3*H5+D5*H5*$M$3</f>
        <v>26.03991</v>
      </c>
      <c r="P5" s="374">
        <v>500</v>
      </c>
      <c r="Q5" s="374"/>
      <c r="R5" s="374"/>
      <c r="S5" s="379"/>
      <c r="T5" s="379"/>
      <c r="U5" s="379"/>
      <c r="V5" s="379">
        <v>0</v>
      </c>
      <c r="W5" s="379">
        <v>0</v>
      </c>
      <c r="X5" s="398">
        <f t="shared" ref="X5:X40" si="5">(SUM(P5:W5)*J5)</f>
        <v>12650</v>
      </c>
      <c r="Y5" s="508"/>
      <c r="Z5" s="399"/>
      <c r="AA5" s="399"/>
      <c r="AB5" s="509">
        <f t="shared" ref="AB5:AB68" si="6">Y5*(Z5+AA5)</f>
        <v>0</v>
      </c>
      <c r="AC5" s="400">
        <f t="shared" ref="AC5:AC68" si="7">SUM(P5:W5)+AB5</f>
        <v>500</v>
      </c>
      <c r="AD5" s="401">
        <f t="shared" ref="AD5:AD7" si="8">AC5/H5</f>
        <v>128205.128205128</v>
      </c>
      <c r="AE5" s="371">
        <f t="shared" ref="AE5:AE68" si="9">$AI$4*C5+$AJ$4*D5+AK5+AL5+AM5+AN5</f>
        <v>15448.25</v>
      </c>
      <c r="AF5" s="422">
        <f t="shared" ref="AF5:AF33" si="10">AE5*H5</f>
        <v>60.248175</v>
      </c>
      <c r="AG5" s="423">
        <f t="shared" ref="AG5:AG49" si="11">AC5-AF5-AH5</f>
        <v>439.751825</v>
      </c>
      <c r="AH5" s="516"/>
      <c r="AI5" s="424">
        <f>$AI$4*C5</f>
        <v>2201.25</v>
      </c>
      <c r="AJ5" s="424">
        <f>$AJ$4*D5</f>
        <v>13247</v>
      </c>
      <c r="AK5" s="424"/>
      <c r="AL5" s="425"/>
      <c r="AM5" s="425"/>
      <c r="AN5" s="425"/>
      <c r="AO5" s="424">
        <f t="shared" ref="AO5:AO7" si="12">AG5/H5/D5</f>
        <v>24806513.2051282</v>
      </c>
    </row>
    <row r="6" customHeight="1" spans="1:41">
      <c r="A6" s="318"/>
      <c r="B6" s="339"/>
      <c r="C6" s="320">
        <v>0.0208333333333333</v>
      </c>
      <c r="D6" s="320">
        <v>0.00454545454545455</v>
      </c>
      <c r="E6" s="489" t="s">
        <v>3068</v>
      </c>
      <c r="F6" s="490" t="s">
        <v>3069</v>
      </c>
      <c r="G6" s="323">
        <v>2500</v>
      </c>
      <c r="H6" s="324">
        <v>0.016</v>
      </c>
      <c r="I6" s="325">
        <f t="shared" si="1"/>
        <v>156250</v>
      </c>
      <c r="J6" s="375">
        <v>25.3</v>
      </c>
      <c r="K6" s="501" t="s">
        <v>3067</v>
      </c>
      <c r="L6" s="377">
        <f t="shared" si="2"/>
        <v>7500000.00000001</v>
      </c>
      <c r="M6" s="377">
        <f t="shared" si="3"/>
        <v>34375000</v>
      </c>
      <c r="N6" s="339" t="s">
        <v>3070</v>
      </c>
      <c r="O6" s="378">
        <f t="shared" si="4"/>
        <v>106.8304</v>
      </c>
      <c r="P6" s="379">
        <v>0</v>
      </c>
      <c r="Q6" s="379"/>
      <c r="R6" s="379"/>
      <c r="S6" s="379"/>
      <c r="T6" s="379"/>
      <c r="U6" s="379"/>
      <c r="V6" s="379">
        <v>0</v>
      </c>
      <c r="W6" s="379">
        <v>0</v>
      </c>
      <c r="X6" s="398">
        <f t="shared" si="5"/>
        <v>0</v>
      </c>
      <c r="Y6" s="510">
        <v>1799</v>
      </c>
      <c r="Z6" s="402">
        <f>H6*C6/(H6*C6+H22*C22)/2</f>
        <v>0.201333836667925</v>
      </c>
      <c r="AA6" s="402">
        <f>(H6*D6)/(D6*H6+D22*H22+D92*H92)/2</f>
        <v>0.0310083528750557</v>
      </c>
      <c r="AB6" s="511">
        <f t="shared" si="6"/>
        <v>417.983598987822</v>
      </c>
      <c r="AC6" s="403">
        <f t="shared" si="7"/>
        <v>417.983598987822</v>
      </c>
      <c r="AD6" s="404">
        <f t="shared" si="8"/>
        <v>26123.9749367389</v>
      </c>
      <c r="AE6" s="377">
        <f t="shared" si="9"/>
        <v>15448.25</v>
      </c>
      <c r="AF6" s="426">
        <f t="shared" si="10"/>
        <v>247.172</v>
      </c>
      <c r="AG6" s="427">
        <f t="shared" si="11"/>
        <v>166.243034997564</v>
      </c>
      <c r="AH6" s="517">
        <f>[2]S2新Ratio布料!AB15*'77485车缝MA'!AA6</f>
        <v>4.5685639902582</v>
      </c>
      <c r="AI6" s="428"/>
      <c r="AJ6" s="428"/>
      <c r="AK6" s="428"/>
      <c r="AL6" s="429"/>
      <c r="AM6" s="429"/>
      <c r="AN6" s="429"/>
      <c r="AO6" s="428">
        <f t="shared" si="12"/>
        <v>2285841.7312165</v>
      </c>
    </row>
    <row r="7" customHeight="1" spans="1:41">
      <c r="A7" s="318"/>
      <c r="B7" s="339"/>
      <c r="C7" s="320">
        <v>0.0208333333333333</v>
      </c>
      <c r="D7" s="320">
        <v>0.00454545454545455</v>
      </c>
      <c r="E7" s="491" t="s">
        <v>3071</v>
      </c>
      <c r="F7" s="490" t="s">
        <v>3072</v>
      </c>
      <c r="G7" s="327">
        <v>1000</v>
      </c>
      <c r="H7" s="324">
        <v>0.01827</v>
      </c>
      <c r="I7" s="325">
        <f t="shared" si="1"/>
        <v>54734.5374931582</v>
      </c>
      <c r="J7" s="375">
        <v>16.72</v>
      </c>
      <c r="K7" s="501" t="s">
        <v>3067</v>
      </c>
      <c r="L7" s="377">
        <f t="shared" si="2"/>
        <v>2627257.7996716</v>
      </c>
      <c r="M7" s="377">
        <f t="shared" si="3"/>
        <v>12041598.2484948</v>
      </c>
      <c r="N7" s="502" t="s">
        <v>3073</v>
      </c>
      <c r="O7" s="378">
        <f t="shared" si="4"/>
        <v>121.986963</v>
      </c>
      <c r="P7" s="379">
        <v>0</v>
      </c>
      <c r="Q7" s="379"/>
      <c r="R7" s="379"/>
      <c r="S7" s="379"/>
      <c r="T7" s="379"/>
      <c r="U7" s="379"/>
      <c r="V7" s="379">
        <v>0</v>
      </c>
      <c r="W7" s="379">
        <v>100</v>
      </c>
      <c r="X7" s="398">
        <f t="shared" si="5"/>
        <v>1672</v>
      </c>
      <c r="Y7" s="510">
        <v>1298</v>
      </c>
      <c r="Z7" s="402">
        <f>H7*C7/(H7*C7+H23*C23)/2</f>
        <v>0.321938325991189</v>
      </c>
      <c r="AA7" s="402">
        <f>(H7*D7)/(H7*D7+D23*H23+D93*H93)/2-3%</f>
        <v>0.0651413841587253</v>
      </c>
      <c r="AB7" s="511">
        <f t="shared" si="6"/>
        <v>502.429463774589</v>
      </c>
      <c r="AC7" s="403">
        <f t="shared" si="7"/>
        <v>602.429463774589</v>
      </c>
      <c r="AD7" s="404">
        <f t="shared" si="8"/>
        <v>32973.6980719534</v>
      </c>
      <c r="AE7" s="377">
        <f t="shared" si="9"/>
        <v>15448.25</v>
      </c>
      <c r="AF7" s="426">
        <f t="shared" si="10"/>
        <v>282.2395275</v>
      </c>
      <c r="AG7" s="427">
        <f t="shared" si="11"/>
        <v>313.915626721394</v>
      </c>
      <c r="AH7" s="517">
        <f>([2]S2新Ratio布料!AB16+[2]S2新Ratio布料!AB59+[2]S2新Ratio布料!AB77)*AA7</f>
        <v>6.27430955319482</v>
      </c>
      <c r="AI7" s="428"/>
      <c r="AJ7" s="428"/>
      <c r="AK7" s="428"/>
      <c r="AL7" s="429"/>
      <c r="AM7" s="429"/>
      <c r="AN7" s="429"/>
      <c r="AO7" s="428">
        <f t="shared" si="12"/>
        <v>3780045.86090348</v>
      </c>
    </row>
    <row r="8" customHeight="1" spans="1:41">
      <c r="A8" s="328"/>
      <c r="B8" s="337"/>
      <c r="C8" s="330">
        <v>0.0208333333333333</v>
      </c>
      <c r="D8" s="330">
        <v>0.00454545454545455</v>
      </c>
      <c r="E8" s="355" t="s">
        <v>3074</v>
      </c>
      <c r="F8" s="492"/>
      <c r="G8" s="333"/>
      <c r="H8" s="334">
        <v>1</v>
      </c>
      <c r="I8" s="335"/>
      <c r="J8" s="380">
        <v>2.55</v>
      </c>
      <c r="K8" s="503" t="s">
        <v>3067</v>
      </c>
      <c r="L8" s="382"/>
      <c r="M8" s="382"/>
      <c r="N8" s="337"/>
      <c r="O8" s="383">
        <f t="shared" si="4"/>
        <v>6676.9</v>
      </c>
      <c r="P8" s="384">
        <v>3630</v>
      </c>
      <c r="Q8" s="384"/>
      <c r="R8" s="384">
        <f>400000*D8</f>
        <v>1818.18181818182</v>
      </c>
      <c r="S8" s="384">
        <f>300000*$D$8</f>
        <v>1363.63636363636</v>
      </c>
      <c r="T8" s="384">
        <f>500000*$D$8</f>
        <v>2272.72727272727</v>
      </c>
      <c r="U8" s="384">
        <f>400000*$D$8</f>
        <v>1818.18181818182</v>
      </c>
      <c r="V8" s="384">
        <v>2272.72727272727</v>
      </c>
      <c r="W8" s="384">
        <v>2273</v>
      </c>
      <c r="X8" s="398">
        <f t="shared" si="5"/>
        <v>39393.5590909091</v>
      </c>
      <c r="Y8" s="512"/>
      <c r="Z8" s="406"/>
      <c r="AA8" s="406"/>
      <c r="AB8" s="513">
        <f t="shared" si="6"/>
        <v>0</v>
      </c>
      <c r="AC8" s="407">
        <f t="shared" si="7"/>
        <v>15448.4545454545</v>
      </c>
      <c r="AD8" s="408"/>
      <c r="AE8" s="382">
        <f t="shared" si="9"/>
        <v>15448.25</v>
      </c>
      <c r="AF8" s="430">
        <f t="shared" si="10"/>
        <v>15448.25</v>
      </c>
      <c r="AG8" s="431">
        <f t="shared" si="11"/>
        <v>0.204545454540494</v>
      </c>
      <c r="AH8" s="518"/>
      <c r="AI8" s="432"/>
      <c r="AJ8" s="432"/>
      <c r="AK8" s="432"/>
      <c r="AL8" s="433"/>
      <c r="AM8" s="433"/>
      <c r="AN8" s="433"/>
      <c r="AO8" s="432"/>
    </row>
    <row r="9" customHeight="1" spans="1:41">
      <c r="A9" s="310"/>
      <c r="B9" s="372" t="s">
        <v>3075</v>
      </c>
      <c r="C9" s="312">
        <v>0.0466269841269841</v>
      </c>
      <c r="D9" s="312">
        <v>0.0474025974025974</v>
      </c>
      <c r="E9" s="486" t="s">
        <v>3076</v>
      </c>
      <c r="F9" s="487" t="s">
        <v>3077</v>
      </c>
      <c r="G9" s="315">
        <v>500</v>
      </c>
      <c r="H9" s="316">
        <v>0.0084</v>
      </c>
      <c r="I9" s="317">
        <f t="shared" ref="I9:I14" si="13">G9/H9</f>
        <v>59523.8095238095</v>
      </c>
      <c r="J9" s="369">
        <v>17.6</v>
      </c>
      <c r="K9" s="500" t="s">
        <v>3067</v>
      </c>
      <c r="L9" s="371">
        <f t="shared" ref="L9:L14" si="14">G9/C9/H9</f>
        <v>1276595.74468085</v>
      </c>
      <c r="M9" s="371">
        <f t="shared" ref="M9:M14" si="15">G9/H9/D9</f>
        <v>1255707.76255708</v>
      </c>
      <c r="N9" s="504" t="s">
        <v>3078</v>
      </c>
      <c r="O9" s="373">
        <f t="shared" si="4"/>
        <v>433.45044</v>
      </c>
      <c r="P9" s="374">
        <v>500</v>
      </c>
      <c r="Q9" s="374"/>
      <c r="R9" s="374"/>
      <c r="S9" s="374">
        <v>500</v>
      </c>
      <c r="T9" s="374"/>
      <c r="U9" s="374"/>
      <c r="V9" s="374">
        <v>500</v>
      </c>
      <c r="W9" s="374">
        <v>0</v>
      </c>
      <c r="X9" s="398">
        <f t="shared" si="5"/>
        <v>26400</v>
      </c>
      <c r="Y9" s="374">
        <v>108</v>
      </c>
      <c r="Z9" s="399"/>
      <c r="AA9" s="399"/>
      <c r="AB9" s="509">
        <f t="shared" si="6"/>
        <v>0</v>
      </c>
      <c r="AC9" s="400">
        <f t="shared" si="7"/>
        <v>1500</v>
      </c>
      <c r="AD9" s="401">
        <f t="shared" ref="AD9:AD14" si="16">AC9/H9</f>
        <v>178571.428571429</v>
      </c>
      <c r="AE9" s="377">
        <f t="shared" si="9"/>
        <v>143073.892857143</v>
      </c>
      <c r="AF9" s="422">
        <f t="shared" si="10"/>
        <v>1201.8207</v>
      </c>
      <c r="AG9" s="423">
        <f t="shared" si="11"/>
        <v>239.8293</v>
      </c>
      <c r="AH9" s="516">
        <f>([2]S2新Ratio布料!AB23+[2]S2新Ratio布料!AB32)</f>
        <v>58.35</v>
      </c>
      <c r="AI9" s="424">
        <f>$AI$4*C9</f>
        <v>4926.60714285714</v>
      </c>
      <c r="AJ9" s="424">
        <f>$AJ$4*D9</f>
        <v>138147.285714286</v>
      </c>
      <c r="AK9" s="424"/>
      <c r="AL9" s="425"/>
      <c r="AM9" s="425"/>
      <c r="AN9" s="425"/>
      <c r="AO9" s="424">
        <f t="shared" ref="AO9:AO14" si="17">AG9/H9/D9</f>
        <v>602311.027397261</v>
      </c>
    </row>
    <row r="10" customHeight="1" spans="1:41">
      <c r="A10" s="318"/>
      <c r="B10" s="339"/>
      <c r="C10" s="320">
        <v>0.0466269841269841</v>
      </c>
      <c r="D10" s="320">
        <v>0.0474025974025974</v>
      </c>
      <c r="E10" s="491" t="s">
        <v>3079</v>
      </c>
      <c r="F10" s="490" t="s">
        <v>3080</v>
      </c>
      <c r="G10" s="323">
        <v>500</v>
      </c>
      <c r="H10" s="324">
        <v>0.00924</v>
      </c>
      <c r="I10" s="325">
        <f t="shared" si="13"/>
        <v>54112.5541125541</v>
      </c>
      <c r="J10" s="375">
        <v>6.38</v>
      </c>
      <c r="K10" s="501" t="s">
        <v>3067</v>
      </c>
      <c r="L10" s="377">
        <f t="shared" si="14"/>
        <v>1160541.5860735</v>
      </c>
      <c r="M10" s="377">
        <f t="shared" si="15"/>
        <v>1141552.51141553</v>
      </c>
      <c r="N10" s="339"/>
      <c r="O10" s="378">
        <f t="shared" si="4"/>
        <v>476.795484</v>
      </c>
      <c r="P10" s="379">
        <v>500</v>
      </c>
      <c r="Q10" s="379"/>
      <c r="R10" s="379"/>
      <c r="S10" s="379"/>
      <c r="T10" s="379">
        <v>500</v>
      </c>
      <c r="U10" s="379"/>
      <c r="V10" s="379">
        <v>500</v>
      </c>
      <c r="W10" s="379">
        <v>0</v>
      </c>
      <c r="X10" s="398">
        <f t="shared" si="5"/>
        <v>9570</v>
      </c>
      <c r="Y10" s="379"/>
      <c r="Z10" s="402"/>
      <c r="AA10" s="402"/>
      <c r="AB10" s="511">
        <f t="shared" si="6"/>
        <v>0</v>
      </c>
      <c r="AC10" s="403">
        <f t="shared" si="7"/>
        <v>1500</v>
      </c>
      <c r="AD10" s="404">
        <f t="shared" si="16"/>
        <v>162337.662337662</v>
      </c>
      <c r="AE10" s="377">
        <f t="shared" si="9"/>
        <v>143073.892857143</v>
      </c>
      <c r="AF10" s="426">
        <f t="shared" si="10"/>
        <v>1322.00277</v>
      </c>
      <c r="AG10" s="427">
        <f t="shared" si="11"/>
        <v>177.99723</v>
      </c>
      <c r="AH10" s="517"/>
      <c r="AI10" s="428"/>
      <c r="AJ10" s="428"/>
      <c r="AK10" s="428"/>
      <c r="AL10" s="429"/>
      <c r="AM10" s="429"/>
      <c r="AN10" s="429"/>
      <c r="AO10" s="428">
        <f t="shared" si="17"/>
        <v>406386.369863014</v>
      </c>
    </row>
    <row r="11" customHeight="1" spans="1:41">
      <c r="A11" s="328"/>
      <c r="B11" s="337"/>
      <c r="C11" s="330">
        <v>0.0466269841269841</v>
      </c>
      <c r="D11" s="330">
        <v>0.0474025974025974</v>
      </c>
      <c r="E11" s="355" t="s">
        <v>3074</v>
      </c>
      <c r="F11" s="492"/>
      <c r="G11" s="338"/>
      <c r="H11" s="334">
        <v>1</v>
      </c>
      <c r="I11" s="335"/>
      <c r="J11" s="380">
        <v>1.98</v>
      </c>
      <c r="K11" s="503" t="s">
        <v>3067</v>
      </c>
      <c r="L11" s="382"/>
      <c r="M11" s="382"/>
      <c r="N11" s="337"/>
      <c r="O11" s="383">
        <f t="shared" si="4"/>
        <v>51601.2428571428</v>
      </c>
      <c r="P11" s="384">
        <v>19827</v>
      </c>
      <c r="Q11" s="384"/>
      <c r="R11" s="384">
        <f>400000*D11</f>
        <v>18961.038961039</v>
      </c>
      <c r="S11" s="384">
        <f>300000*$D$11</f>
        <v>14220.7792207792</v>
      </c>
      <c r="T11" s="384">
        <f>500000*$D$11</f>
        <v>23701.2987012987</v>
      </c>
      <c r="U11" s="384">
        <f>400000*$D$11</f>
        <v>18961.038961039</v>
      </c>
      <c r="V11" s="384">
        <v>23701.2987012987</v>
      </c>
      <c r="W11" s="384">
        <v>23702</v>
      </c>
      <c r="X11" s="398">
        <f t="shared" si="5"/>
        <v>283287.42</v>
      </c>
      <c r="Y11" s="384"/>
      <c r="Z11" s="406"/>
      <c r="AA11" s="406"/>
      <c r="AB11" s="513">
        <f t="shared" si="6"/>
        <v>0</v>
      </c>
      <c r="AC11" s="403">
        <f t="shared" si="7"/>
        <v>143074.454545455</v>
      </c>
      <c r="AD11" s="408"/>
      <c r="AE11" s="382">
        <f t="shared" si="9"/>
        <v>143073.892857143</v>
      </c>
      <c r="AF11" s="430">
        <f t="shared" si="10"/>
        <v>143073.892857143</v>
      </c>
      <c r="AG11" s="431">
        <f t="shared" si="11"/>
        <v>0.561688311689068</v>
      </c>
      <c r="AH11" s="518"/>
      <c r="AI11" s="432"/>
      <c r="AJ11" s="432"/>
      <c r="AK11" s="432"/>
      <c r="AL11" s="433"/>
      <c r="AM11" s="433"/>
      <c r="AN11" s="433"/>
      <c r="AO11" s="432"/>
    </row>
    <row r="12" ht="52.25" customHeight="1" spans="1:41">
      <c r="A12" s="310"/>
      <c r="B12" s="372" t="s">
        <v>3081</v>
      </c>
      <c r="C12" s="312">
        <v>0.0466269841269841</v>
      </c>
      <c r="D12" s="312">
        <v>0.0474025974025974</v>
      </c>
      <c r="E12" s="486" t="s">
        <v>3082</v>
      </c>
      <c r="F12" s="487" t="s">
        <v>3083</v>
      </c>
      <c r="G12" s="315">
        <v>500</v>
      </c>
      <c r="H12" s="316">
        <v>0.0084</v>
      </c>
      <c r="I12" s="317">
        <f t="shared" si="13"/>
        <v>59523.8095238095</v>
      </c>
      <c r="J12" s="369">
        <v>14.3</v>
      </c>
      <c r="K12" s="500" t="s">
        <v>3067</v>
      </c>
      <c r="L12" s="371">
        <f t="shared" si="14"/>
        <v>1276595.74468085</v>
      </c>
      <c r="M12" s="371">
        <f t="shared" si="15"/>
        <v>1255707.76255708</v>
      </c>
      <c r="N12" s="372"/>
      <c r="O12" s="373">
        <f t="shared" si="4"/>
        <v>433.45044</v>
      </c>
      <c r="P12" s="374">
        <v>500</v>
      </c>
      <c r="Q12" s="374"/>
      <c r="R12" s="374"/>
      <c r="S12" s="374"/>
      <c r="T12" s="374">
        <v>500</v>
      </c>
      <c r="U12" s="374"/>
      <c r="V12" s="374">
        <v>500</v>
      </c>
      <c r="W12" s="374">
        <v>0</v>
      </c>
      <c r="X12" s="398">
        <f t="shared" si="5"/>
        <v>21450</v>
      </c>
      <c r="Y12" s="374"/>
      <c r="Z12" s="399"/>
      <c r="AA12" s="399"/>
      <c r="AB12" s="509">
        <f t="shared" si="6"/>
        <v>0</v>
      </c>
      <c r="AC12" s="400">
        <f t="shared" si="7"/>
        <v>1500</v>
      </c>
      <c r="AD12" s="401">
        <f t="shared" si="16"/>
        <v>178571.428571429</v>
      </c>
      <c r="AE12" s="371">
        <f t="shared" si="9"/>
        <v>143073.892857143</v>
      </c>
      <c r="AF12" s="422">
        <f t="shared" si="10"/>
        <v>1201.8207</v>
      </c>
      <c r="AG12" s="423">
        <f t="shared" si="11"/>
        <v>298.1793</v>
      </c>
      <c r="AH12" s="516"/>
      <c r="AI12" s="424">
        <f>$AI$4*C12</f>
        <v>4926.60714285714</v>
      </c>
      <c r="AJ12" s="424">
        <f>$AJ$4*D12</f>
        <v>138147.285714286</v>
      </c>
      <c r="AK12" s="424"/>
      <c r="AL12" s="425"/>
      <c r="AM12" s="425"/>
      <c r="AN12" s="425"/>
      <c r="AO12" s="424">
        <f t="shared" si="17"/>
        <v>748852.123287672</v>
      </c>
    </row>
    <row r="13" customHeight="1" spans="1:41">
      <c r="A13" s="318"/>
      <c r="B13" s="339"/>
      <c r="C13" s="320">
        <v>0.0466269841269841</v>
      </c>
      <c r="D13" s="320">
        <v>0.0474025974025974</v>
      </c>
      <c r="E13" s="491" t="s">
        <v>3084</v>
      </c>
      <c r="F13" s="490" t="s">
        <v>3085</v>
      </c>
      <c r="G13" s="323">
        <v>800</v>
      </c>
      <c r="H13" s="324">
        <v>0.005145</v>
      </c>
      <c r="I13" s="325">
        <f t="shared" si="13"/>
        <v>155490.767735666</v>
      </c>
      <c r="J13" s="375">
        <v>20</v>
      </c>
      <c r="K13" s="501" t="s">
        <v>3067</v>
      </c>
      <c r="L13" s="377">
        <f t="shared" si="14"/>
        <v>3334780.72079896</v>
      </c>
      <c r="M13" s="377">
        <f t="shared" si="15"/>
        <v>3280216.19606747</v>
      </c>
      <c r="N13" s="339" t="s">
        <v>3086</v>
      </c>
      <c r="O13" s="378">
        <f t="shared" si="4"/>
        <v>265.4883945</v>
      </c>
      <c r="P13" s="379">
        <v>800</v>
      </c>
      <c r="Q13" s="379"/>
      <c r="R13" s="379"/>
      <c r="S13" s="379"/>
      <c r="T13" s="379"/>
      <c r="U13" s="379"/>
      <c r="V13" s="379">
        <v>0</v>
      </c>
      <c r="W13" s="379">
        <v>0</v>
      </c>
      <c r="X13" s="398">
        <f t="shared" si="5"/>
        <v>16000</v>
      </c>
      <c r="Y13" s="379"/>
      <c r="Z13" s="402"/>
      <c r="AA13" s="402"/>
      <c r="AB13" s="511">
        <f t="shared" si="6"/>
        <v>0</v>
      </c>
      <c r="AC13" s="403">
        <f t="shared" si="7"/>
        <v>800</v>
      </c>
      <c r="AD13" s="404">
        <f t="shared" si="16"/>
        <v>155490.767735666</v>
      </c>
      <c r="AE13" s="377">
        <f t="shared" si="9"/>
        <v>143073.892857143</v>
      </c>
      <c r="AF13" s="426">
        <f t="shared" si="10"/>
        <v>736.11517875</v>
      </c>
      <c r="AG13" s="427">
        <f t="shared" si="11"/>
        <v>63.8848212500001</v>
      </c>
      <c r="AH13" s="517"/>
      <c r="AI13" s="428"/>
      <c r="AJ13" s="428"/>
      <c r="AK13" s="428"/>
      <c r="AL13" s="429"/>
      <c r="AM13" s="429"/>
      <c r="AN13" s="429"/>
      <c r="AO13" s="428">
        <f t="shared" si="17"/>
        <v>261945.031683907</v>
      </c>
    </row>
    <row r="14" customHeight="1" spans="1:41">
      <c r="A14" s="318"/>
      <c r="B14" s="339"/>
      <c r="C14" s="320">
        <v>0.0466269841269841</v>
      </c>
      <c r="D14" s="320">
        <v>0.0474025974025974</v>
      </c>
      <c r="E14" s="491" t="s">
        <v>3087</v>
      </c>
      <c r="F14" s="490" t="s">
        <v>3072</v>
      </c>
      <c r="G14" s="327">
        <v>1000</v>
      </c>
      <c r="H14" s="324">
        <v>0.0084</v>
      </c>
      <c r="I14" s="325">
        <f t="shared" si="13"/>
        <v>119047.619047619</v>
      </c>
      <c r="J14" s="375">
        <v>16.72</v>
      </c>
      <c r="K14" s="501" t="s">
        <v>3067</v>
      </c>
      <c r="L14" s="377">
        <f t="shared" si="14"/>
        <v>2553191.4893617</v>
      </c>
      <c r="M14" s="377">
        <f t="shared" si="15"/>
        <v>2511415.52511416</v>
      </c>
      <c r="N14" s="502" t="s">
        <v>3088</v>
      </c>
      <c r="O14" s="378">
        <f t="shared" si="4"/>
        <v>433.45044</v>
      </c>
      <c r="P14" s="379">
        <v>0</v>
      </c>
      <c r="Q14" s="379"/>
      <c r="R14" s="379"/>
      <c r="S14" s="379"/>
      <c r="T14" s="379">
        <v>1000</v>
      </c>
      <c r="U14" s="379"/>
      <c r="V14" s="379">
        <v>0</v>
      </c>
      <c r="W14" s="379">
        <v>0</v>
      </c>
      <c r="X14" s="398">
        <f t="shared" si="5"/>
        <v>16720</v>
      </c>
      <c r="Y14" s="379">
        <v>495</v>
      </c>
      <c r="Z14" s="402"/>
      <c r="AA14" s="402">
        <v>1</v>
      </c>
      <c r="AB14" s="511">
        <f t="shared" si="6"/>
        <v>495</v>
      </c>
      <c r="AC14" s="403">
        <f t="shared" si="7"/>
        <v>1495</v>
      </c>
      <c r="AD14" s="404">
        <f t="shared" si="16"/>
        <v>177976.19047619</v>
      </c>
      <c r="AE14" s="377">
        <f t="shared" si="9"/>
        <v>143073.892857143</v>
      </c>
      <c r="AF14" s="426">
        <f t="shared" si="10"/>
        <v>1201.8207</v>
      </c>
      <c r="AG14" s="427">
        <f t="shared" si="11"/>
        <v>276.8023</v>
      </c>
      <c r="AH14" s="517">
        <f>[2]S2新Ratio布料!AB52</f>
        <v>16.377</v>
      </c>
      <c r="AI14" s="428"/>
      <c r="AJ14" s="428"/>
      <c r="AK14" s="428"/>
      <c r="AL14" s="429"/>
      <c r="AM14" s="429"/>
      <c r="AN14" s="429"/>
      <c r="AO14" s="428">
        <f t="shared" si="17"/>
        <v>695165.593607307</v>
      </c>
    </row>
    <row r="15" customHeight="1" spans="1:41">
      <c r="A15" s="328"/>
      <c r="B15" s="337"/>
      <c r="C15" s="330">
        <v>0.0466269841269841</v>
      </c>
      <c r="D15" s="330">
        <v>0.0474025974025974</v>
      </c>
      <c r="E15" s="355" t="s">
        <v>3074</v>
      </c>
      <c r="F15" s="492"/>
      <c r="G15" s="338"/>
      <c r="H15" s="334">
        <v>1</v>
      </c>
      <c r="I15" s="335"/>
      <c r="J15" s="380">
        <v>1.386</v>
      </c>
      <c r="K15" s="503" t="s">
        <v>3067</v>
      </c>
      <c r="L15" s="382"/>
      <c r="M15" s="382"/>
      <c r="N15" s="337"/>
      <c r="O15" s="383">
        <f t="shared" si="4"/>
        <v>51601.2428571428</v>
      </c>
      <c r="P15" s="384">
        <v>19827</v>
      </c>
      <c r="Q15" s="384"/>
      <c r="R15" s="384">
        <f>400000*D15</f>
        <v>18961.038961039</v>
      </c>
      <c r="S15" s="384">
        <f>300000*$D$15</f>
        <v>14220.7792207792</v>
      </c>
      <c r="T15" s="384">
        <f>500000*$D$15</f>
        <v>23701.2987012987</v>
      </c>
      <c r="U15" s="384">
        <f>400000*$D$15</f>
        <v>18961.038961039</v>
      </c>
      <c r="V15" s="384">
        <v>23701.2987012987</v>
      </c>
      <c r="W15" s="384">
        <v>23702</v>
      </c>
      <c r="X15" s="398">
        <f t="shared" si="5"/>
        <v>198301.194</v>
      </c>
      <c r="Y15" s="384"/>
      <c r="Z15" s="406"/>
      <c r="AA15" s="406"/>
      <c r="AB15" s="513">
        <f t="shared" si="6"/>
        <v>0</v>
      </c>
      <c r="AC15" s="407">
        <f t="shared" si="7"/>
        <v>143074.454545455</v>
      </c>
      <c r="AD15" s="408"/>
      <c r="AE15" s="382">
        <f t="shared" si="9"/>
        <v>143073.892857143</v>
      </c>
      <c r="AF15" s="430">
        <f t="shared" si="10"/>
        <v>143073.892857143</v>
      </c>
      <c r="AG15" s="431">
        <f t="shared" si="11"/>
        <v>0.561688311689068</v>
      </c>
      <c r="AH15" s="518"/>
      <c r="AI15" s="432"/>
      <c r="AJ15" s="432"/>
      <c r="AK15" s="432"/>
      <c r="AL15" s="433"/>
      <c r="AM15" s="433"/>
      <c r="AN15" s="433"/>
      <c r="AO15" s="432"/>
    </row>
    <row r="16" ht="58.5" customHeight="1" spans="1:41">
      <c r="A16" s="310"/>
      <c r="B16" s="372" t="s">
        <v>3089</v>
      </c>
      <c r="C16" s="312">
        <v>0.0466269841269841</v>
      </c>
      <c r="D16" s="312">
        <v>0.0474025974025974</v>
      </c>
      <c r="E16" s="493" t="s">
        <v>3090</v>
      </c>
      <c r="F16" s="487" t="s">
        <v>3091</v>
      </c>
      <c r="G16" s="315">
        <v>2500</v>
      </c>
      <c r="H16" s="341">
        <v>0.017325</v>
      </c>
      <c r="I16" s="317">
        <f t="shared" ref="I16:I20" si="18">G16/H16</f>
        <v>144300.144300144</v>
      </c>
      <c r="J16" s="369">
        <v>25.3</v>
      </c>
      <c r="K16" s="500" t="s">
        <v>3067</v>
      </c>
      <c r="L16" s="371">
        <f t="shared" ref="L16:L20" si="19">G16/C16/H16</f>
        <v>3094777.56286267</v>
      </c>
      <c r="M16" s="371">
        <f t="shared" ref="M16:M20" si="20">G16/H16/D16</f>
        <v>3044140.0304414</v>
      </c>
      <c r="N16" s="372" t="s">
        <v>3092</v>
      </c>
      <c r="O16" s="373">
        <f t="shared" si="4"/>
        <v>893.9915325</v>
      </c>
      <c r="P16" s="374">
        <f>1169+229</f>
        <v>1398</v>
      </c>
      <c r="Q16" s="374"/>
      <c r="R16" s="374"/>
      <c r="S16" s="374"/>
      <c r="T16" s="374">
        <f>2500-300-700</f>
        <v>1500</v>
      </c>
      <c r="U16" s="374"/>
      <c r="V16" s="374">
        <v>1000</v>
      </c>
      <c r="W16" s="374">
        <v>0</v>
      </c>
      <c r="X16" s="398">
        <f t="shared" si="5"/>
        <v>98619.4</v>
      </c>
      <c r="Y16" s="374"/>
      <c r="Z16" s="410">
        <f>H16/(H16+H31+H62)</f>
        <v>0.46742209631728</v>
      </c>
      <c r="AA16" s="410"/>
      <c r="AB16" s="509">
        <f t="shared" si="6"/>
        <v>0</v>
      </c>
      <c r="AC16" s="400">
        <f t="shared" si="7"/>
        <v>3898</v>
      </c>
      <c r="AD16" s="401">
        <f t="shared" ref="AD16:AD20" si="21">AC16/H16</f>
        <v>224992.784992785</v>
      </c>
      <c r="AE16" s="377">
        <f t="shared" si="9"/>
        <v>193473.892857143</v>
      </c>
      <c r="AF16" s="422">
        <f t="shared" si="10"/>
        <v>3351.93519375</v>
      </c>
      <c r="AG16" s="423">
        <f t="shared" si="11"/>
        <v>546.06480625</v>
      </c>
      <c r="AH16" s="516"/>
      <c r="AI16" s="424">
        <f>$AI$4*C16</f>
        <v>4926.60714285714</v>
      </c>
      <c r="AJ16" s="424">
        <f>$AJ$4*D16</f>
        <v>138147.285714286</v>
      </c>
      <c r="AK16" s="424">
        <f>15970+11700+22330</f>
        <v>50000</v>
      </c>
      <c r="AL16" s="425">
        <f>400</f>
        <v>400</v>
      </c>
      <c r="AM16" s="425"/>
      <c r="AN16" s="425"/>
      <c r="AO16" s="424">
        <f t="shared" ref="AO16:AO20" si="22">AG16/H16/D16</f>
        <v>664919.094368341</v>
      </c>
    </row>
    <row r="17" ht="45" customHeight="1" spans="1:41">
      <c r="A17" s="328"/>
      <c r="B17" s="337"/>
      <c r="C17" s="330">
        <v>0.0466269841269841</v>
      </c>
      <c r="D17" s="330">
        <v>0.0474025974025974</v>
      </c>
      <c r="E17" s="355" t="s">
        <v>3074</v>
      </c>
      <c r="F17" s="492"/>
      <c r="G17" s="333"/>
      <c r="H17" s="334">
        <v>1</v>
      </c>
      <c r="I17" s="335"/>
      <c r="J17" s="380">
        <v>1.38</v>
      </c>
      <c r="K17" s="503" t="s">
        <v>3067</v>
      </c>
      <c r="L17" s="382"/>
      <c r="M17" s="382"/>
      <c r="N17" s="337"/>
      <c r="O17" s="383">
        <f t="shared" si="4"/>
        <v>51601.2428571428</v>
      </c>
      <c r="P17" s="384">
        <v>19827</v>
      </c>
      <c r="Q17" s="384"/>
      <c r="R17" s="384">
        <f>400000*D17</f>
        <v>18961.038961039</v>
      </c>
      <c r="S17" s="384">
        <f>300000*$D$17+27670</f>
        <v>41890.7792207792</v>
      </c>
      <c r="T17" s="384">
        <f>500000*$D$17+22330</f>
        <v>46031.2987012987</v>
      </c>
      <c r="U17" s="384">
        <f>400000*$D$17+400</f>
        <v>19361.038961039</v>
      </c>
      <c r="V17" s="384">
        <v>34201.2987012987</v>
      </c>
      <c r="W17" s="384">
        <v>23702</v>
      </c>
      <c r="X17" s="398">
        <f t="shared" si="5"/>
        <v>281484.747272727</v>
      </c>
      <c r="Y17" s="384"/>
      <c r="Z17" s="406"/>
      <c r="AA17" s="406"/>
      <c r="AB17" s="513">
        <f t="shared" si="6"/>
        <v>0</v>
      </c>
      <c r="AC17" s="407">
        <f t="shared" si="7"/>
        <v>203974.454545455</v>
      </c>
      <c r="AD17" s="408"/>
      <c r="AE17" s="382">
        <f t="shared" si="9"/>
        <v>193473.892857143</v>
      </c>
      <c r="AF17" s="430">
        <f t="shared" si="10"/>
        <v>193473.892857143</v>
      </c>
      <c r="AG17" s="431">
        <f t="shared" si="11"/>
        <v>10500.5616883117</v>
      </c>
      <c r="AH17" s="518"/>
      <c r="AI17" s="432"/>
      <c r="AJ17" s="432"/>
      <c r="AK17" s="432">
        <f>15970+11700+22330</f>
        <v>50000</v>
      </c>
      <c r="AL17" s="433">
        <f>400</f>
        <v>400</v>
      </c>
      <c r="AM17" s="433"/>
      <c r="AN17" s="433"/>
      <c r="AO17" s="432"/>
    </row>
    <row r="18" customHeight="1" spans="1:41">
      <c r="A18" s="310"/>
      <c r="B18" s="372" t="s">
        <v>3093</v>
      </c>
      <c r="C18" s="312">
        <v>0.0466269841269841</v>
      </c>
      <c r="D18" s="312">
        <v>0.0474025974025974</v>
      </c>
      <c r="E18" s="486" t="s">
        <v>3094</v>
      </c>
      <c r="F18" s="372" t="s">
        <v>3095</v>
      </c>
      <c r="G18" s="315">
        <v>300</v>
      </c>
      <c r="H18" s="341">
        <v>0.00567</v>
      </c>
      <c r="I18" s="317">
        <f t="shared" si="18"/>
        <v>52910.0529100529</v>
      </c>
      <c r="J18" s="369">
        <v>14.3</v>
      </c>
      <c r="K18" s="500" t="s">
        <v>3067</v>
      </c>
      <c r="L18" s="371">
        <f t="shared" si="19"/>
        <v>1134751.77304965</v>
      </c>
      <c r="M18" s="371">
        <f t="shared" si="20"/>
        <v>1116184.67782851</v>
      </c>
      <c r="N18" s="372"/>
      <c r="O18" s="373">
        <f t="shared" si="4"/>
        <v>292.579047</v>
      </c>
      <c r="P18" s="374">
        <v>310</v>
      </c>
      <c r="Q18" s="374"/>
      <c r="R18" s="374"/>
      <c r="S18" s="374"/>
      <c r="T18" s="374">
        <v>300</v>
      </c>
      <c r="U18" s="374"/>
      <c r="V18" s="374">
        <v>300</v>
      </c>
      <c r="W18" s="374">
        <v>0</v>
      </c>
      <c r="X18" s="398">
        <f t="shared" si="5"/>
        <v>13013</v>
      </c>
      <c r="Y18" s="374"/>
      <c r="Z18" s="399"/>
      <c r="AA18" s="399"/>
      <c r="AB18" s="509">
        <f t="shared" si="6"/>
        <v>0</v>
      </c>
      <c r="AC18" s="400">
        <f t="shared" si="7"/>
        <v>910</v>
      </c>
      <c r="AD18" s="401">
        <f t="shared" si="21"/>
        <v>160493.827160494</v>
      </c>
      <c r="AE18" s="377">
        <f t="shared" si="9"/>
        <v>143073.892857143</v>
      </c>
      <c r="AF18" s="422">
        <f t="shared" si="10"/>
        <v>811.2289725</v>
      </c>
      <c r="AG18" s="423">
        <f t="shared" si="11"/>
        <v>98.7710275000002</v>
      </c>
      <c r="AH18" s="516"/>
      <c r="AI18" s="424">
        <f>$AI$4*C18</f>
        <v>4926.60714285714</v>
      </c>
      <c r="AJ18" s="424">
        <f>$AJ$4*D18</f>
        <v>138147.285714286</v>
      </c>
      <c r="AK18" s="424"/>
      <c r="AL18" s="425"/>
      <c r="AM18" s="425"/>
      <c r="AN18" s="425"/>
      <c r="AO18" s="424">
        <f t="shared" si="22"/>
        <v>367489.025029597</v>
      </c>
    </row>
    <row r="19" customHeight="1" spans="1:41">
      <c r="A19" s="318"/>
      <c r="B19" s="339"/>
      <c r="C19" s="320">
        <v>0.0466269841269841</v>
      </c>
      <c r="D19" s="320">
        <v>0.0474025974025974</v>
      </c>
      <c r="E19" s="491" t="s">
        <v>3096</v>
      </c>
      <c r="F19" s="339" t="s">
        <v>3095</v>
      </c>
      <c r="G19" s="323">
        <v>300</v>
      </c>
      <c r="H19" s="342">
        <v>0.00567</v>
      </c>
      <c r="I19" s="325">
        <f t="shared" si="18"/>
        <v>52910.0529100529</v>
      </c>
      <c r="J19" s="375">
        <v>6.6</v>
      </c>
      <c r="K19" s="501" t="s">
        <v>3067</v>
      </c>
      <c r="L19" s="377">
        <f t="shared" si="19"/>
        <v>1134751.77304965</v>
      </c>
      <c r="M19" s="377">
        <f t="shared" si="20"/>
        <v>1116184.67782851</v>
      </c>
      <c r="N19" s="339"/>
      <c r="O19" s="378">
        <f t="shared" si="4"/>
        <v>292.579047</v>
      </c>
      <c r="P19" s="379">
        <v>310</v>
      </c>
      <c r="Q19" s="379"/>
      <c r="R19" s="379"/>
      <c r="S19" s="379"/>
      <c r="T19" s="379">
        <v>300</v>
      </c>
      <c r="U19" s="379"/>
      <c r="V19" s="379">
        <v>300</v>
      </c>
      <c r="W19" s="379">
        <v>0</v>
      </c>
      <c r="X19" s="398">
        <f t="shared" si="5"/>
        <v>6006</v>
      </c>
      <c r="Y19" s="379"/>
      <c r="Z19" s="402"/>
      <c r="AA19" s="402"/>
      <c r="AB19" s="511">
        <f t="shared" si="6"/>
        <v>0</v>
      </c>
      <c r="AC19" s="403">
        <f t="shared" si="7"/>
        <v>910</v>
      </c>
      <c r="AD19" s="404">
        <f t="shared" si="21"/>
        <v>160493.827160494</v>
      </c>
      <c r="AE19" s="377">
        <f t="shared" si="9"/>
        <v>143073.892857143</v>
      </c>
      <c r="AF19" s="426">
        <f t="shared" si="10"/>
        <v>811.2289725</v>
      </c>
      <c r="AG19" s="427">
        <f t="shared" si="11"/>
        <v>98.7710275000002</v>
      </c>
      <c r="AH19" s="517"/>
      <c r="AI19" s="428"/>
      <c r="AJ19" s="428"/>
      <c r="AK19" s="428"/>
      <c r="AL19" s="429"/>
      <c r="AM19" s="429"/>
      <c r="AN19" s="429"/>
      <c r="AO19" s="428">
        <f t="shared" si="22"/>
        <v>367489.025029597</v>
      </c>
    </row>
    <row r="20" customHeight="1" spans="1:41">
      <c r="A20" s="318"/>
      <c r="B20" s="339"/>
      <c r="C20" s="320">
        <v>0.0466269841269841</v>
      </c>
      <c r="D20" s="320">
        <v>0.0474025974025974</v>
      </c>
      <c r="E20" s="491" t="s">
        <v>3097</v>
      </c>
      <c r="F20" s="339" t="s">
        <v>3098</v>
      </c>
      <c r="G20" s="323">
        <v>500</v>
      </c>
      <c r="H20" s="324">
        <v>0.006615</v>
      </c>
      <c r="I20" s="325">
        <f t="shared" si="18"/>
        <v>75585.7898715042</v>
      </c>
      <c r="J20" s="375">
        <v>19.8</v>
      </c>
      <c r="K20" s="501" t="s">
        <v>3067</v>
      </c>
      <c r="L20" s="377">
        <f t="shared" si="19"/>
        <v>1621073.96149949</v>
      </c>
      <c r="M20" s="377">
        <f t="shared" si="20"/>
        <v>1594549.53975502</v>
      </c>
      <c r="N20" s="339"/>
      <c r="O20" s="378">
        <f t="shared" si="4"/>
        <v>341.3422215</v>
      </c>
      <c r="P20" s="379">
        <v>500</v>
      </c>
      <c r="Q20" s="379"/>
      <c r="R20" s="379"/>
      <c r="S20" s="379"/>
      <c r="T20" s="379">
        <v>500</v>
      </c>
      <c r="U20" s="379"/>
      <c r="V20" s="379">
        <v>0</v>
      </c>
      <c r="W20" s="379">
        <v>0</v>
      </c>
      <c r="X20" s="398">
        <f t="shared" si="5"/>
        <v>19800</v>
      </c>
      <c r="Y20" s="379"/>
      <c r="Z20" s="402">
        <f>H20/0.0099</f>
        <v>0.668181818181818</v>
      </c>
      <c r="AA20" s="402"/>
      <c r="AB20" s="511">
        <f t="shared" si="6"/>
        <v>0</v>
      </c>
      <c r="AC20" s="403">
        <f t="shared" si="7"/>
        <v>1000</v>
      </c>
      <c r="AD20" s="404">
        <f t="shared" si="21"/>
        <v>151171.579743008</v>
      </c>
      <c r="AE20" s="377">
        <f t="shared" si="9"/>
        <v>143073.892857143</v>
      </c>
      <c r="AF20" s="426">
        <f t="shared" si="10"/>
        <v>946.43380125</v>
      </c>
      <c r="AG20" s="427">
        <f t="shared" si="11"/>
        <v>53.5661987500001</v>
      </c>
      <c r="AH20" s="517"/>
      <c r="AI20" s="428"/>
      <c r="AJ20" s="428"/>
      <c r="AK20" s="428"/>
      <c r="AL20" s="429"/>
      <c r="AM20" s="429"/>
      <c r="AN20" s="429"/>
      <c r="AO20" s="428">
        <f t="shared" si="22"/>
        <v>170827.915126477</v>
      </c>
    </row>
    <row r="21" customHeight="1" spans="1:41">
      <c r="A21" s="328"/>
      <c r="B21" s="337"/>
      <c r="C21" s="330">
        <v>0.0466269841269841</v>
      </c>
      <c r="D21" s="330">
        <v>0.0474025974025974</v>
      </c>
      <c r="E21" s="355" t="s">
        <v>3074</v>
      </c>
      <c r="F21" s="337"/>
      <c r="G21" s="333"/>
      <c r="H21" s="334">
        <v>1</v>
      </c>
      <c r="I21" s="335"/>
      <c r="J21" s="380">
        <v>1.88</v>
      </c>
      <c r="K21" s="503" t="s">
        <v>3067</v>
      </c>
      <c r="L21" s="382"/>
      <c r="M21" s="382"/>
      <c r="N21" s="337"/>
      <c r="O21" s="383">
        <f t="shared" si="4"/>
        <v>51601.2428571428</v>
      </c>
      <c r="P21" s="384">
        <v>19827</v>
      </c>
      <c r="Q21" s="384"/>
      <c r="R21" s="384">
        <f>400000*D21</f>
        <v>18961.038961039</v>
      </c>
      <c r="S21" s="384">
        <f>300000*$D$21</f>
        <v>14220.7792207792</v>
      </c>
      <c r="T21" s="384">
        <f>500000*$D$21</f>
        <v>23701.2987012987</v>
      </c>
      <c r="U21" s="384">
        <f>400000*$D$21</f>
        <v>18961.038961039</v>
      </c>
      <c r="V21" s="384">
        <v>23701.2987012987</v>
      </c>
      <c r="W21" s="384">
        <v>23702</v>
      </c>
      <c r="X21" s="398">
        <f t="shared" si="5"/>
        <v>268979.974545454</v>
      </c>
      <c r="Y21" s="384"/>
      <c r="Z21" s="406"/>
      <c r="AA21" s="406"/>
      <c r="AB21" s="513">
        <f t="shared" si="6"/>
        <v>0</v>
      </c>
      <c r="AC21" s="407">
        <f t="shared" si="7"/>
        <v>143074.454545455</v>
      </c>
      <c r="AD21" s="408"/>
      <c r="AE21" s="382">
        <f t="shared" si="9"/>
        <v>143073.892857143</v>
      </c>
      <c r="AF21" s="430">
        <f t="shared" si="10"/>
        <v>143073.892857143</v>
      </c>
      <c r="AG21" s="431">
        <f t="shared" si="11"/>
        <v>0.561688311689068</v>
      </c>
      <c r="AH21" s="518"/>
      <c r="AI21" s="432"/>
      <c r="AJ21" s="432"/>
      <c r="AK21" s="432"/>
      <c r="AL21" s="433"/>
      <c r="AM21" s="433"/>
      <c r="AN21" s="433"/>
      <c r="AO21" s="432"/>
    </row>
    <row r="22" customHeight="1" spans="1:41">
      <c r="A22" s="310"/>
      <c r="B22" s="372" t="s">
        <v>3099</v>
      </c>
      <c r="C22" s="312">
        <v>0.0466269841269841</v>
      </c>
      <c r="D22" s="312">
        <v>0.0474025974025974</v>
      </c>
      <c r="E22" s="493" t="s">
        <v>3068</v>
      </c>
      <c r="F22" s="487" t="s">
        <v>3100</v>
      </c>
      <c r="G22" s="315">
        <v>2500</v>
      </c>
      <c r="H22" s="352">
        <v>0.010605</v>
      </c>
      <c r="I22" s="317">
        <f t="shared" ref="I22:I24" si="23">G22/H22</f>
        <v>235737.859500236</v>
      </c>
      <c r="J22" s="369">
        <v>17.6</v>
      </c>
      <c r="K22" s="500" t="s">
        <v>3067</v>
      </c>
      <c r="L22" s="371">
        <f t="shared" ref="L22:L24" si="24">G22/C22/H22</f>
        <v>5055824.73140931</v>
      </c>
      <c r="M22" s="371">
        <f t="shared" ref="M22:M24" si="25">G22/H22/D22</f>
        <v>4973100.049731</v>
      </c>
      <c r="N22" s="504" t="s">
        <v>3070</v>
      </c>
      <c r="O22" s="373">
        <f t="shared" si="4"/>
        <v>547.2311805</v>
      </c>
      <c r="P22" s="374">
        <v>0</v>
      </c>
      <c r="Q22" s="374"/>
      <c r="R22" s="374"/>
      <c r="S22" s="374"/>
      <c r="T22" s="374">
        <f>1000</f>
        <v>1000</v>
      </c>
      <c r="U22" s="374"/>
      <c r="V22" s="374">
        <v>0</v>
      </c>
      <c r="W22" s="374">
        <v>0</v>
      </c>
      <c r="X22" s="398">
        <f t="shared" si="5"/>
        <v>17600</v>
      </c>
      <c r="Y22" s="374">
        <v>1799</v>
      </c>
      <c r="Z22" s="410">
        <f>H22*C22/(H6*C6+H22*C22)/2</f>
        <v>0.298666163332075</v>
      </c>
      <c r="AA22" s="410">
        <f>(H22*D22)/(H22*D22+D6*H6+D92*H92)/2</f>
        <v>0.214335549138549</v>
      </c>
      <c r="AB22" s="509">
        <f t="shared" si="6"/>
        <v>922.890080734653</v>
      </c>
      <c r="AC22" s="400">
        <f t="shared" si="7"/>
        <v>1922.89008073465</v>
      </c>
      <c r="AD22" s="401">
        <f t="shared" ref="AD22:AD24" si="26">AC22/H22</f>
        <v>181319.196674649</v>
      </c>
      <c r="AE22" s="377">
        <f t="shared" si="9"/>
        <v>143073.892857143</v>
      </c>
      <c r="AF22" s="422">
        <f t="shared" si="10"/>
        <v>1517.29863375</v>
      </c>
      <c r="AG22" s="423">
        <f t="shared" si="11"/>
        <v>374.01267607824</v>
      </c>
      <c r="AH22" s="516">
        <f>[2]S2新Ratio布料!AB15*AA22</f>
        <v>31.5787709064128</v>
      </c>
      <c r="AI22" s="424">
        <f>$AI$4*C22</f>
        <v>4926.60714285714</v>
      </c>
      <c r="AJ22" s="424">
        <f>$AJ$4*D22</f>
        <v>138147.285714286</v>
      </c>
      <c r="AK22" s="424"/>
      <c r="AL22" s="425"/>
      <c r="AM22" s="425"/>
      <c r="AN22" s="425"/>
      <c r="AO22" s="424">
        <f t="shared" ref="AO22:AO24" si="27">AG22/H22/D22</f>
        <v>744000.983201889</v>
      </c>
    </row>
    <row r="23" customHeight="1" spans="1:41">
      <c r="A23" s="318"/>
      <c r="B23" s="339"/>
      <c r="C23" s="320">
        <v>0.0466269841269841</v>
      </c>
      <c r="D23" s="320">
        <v>0.0474025974025974</v>
      </c>
      <c r="E23" s="491" t="s">
        <v>3071</v>
      </c>
      <c r="F23" s="490" t="s">
        <v>3101</v>
      </c>
      <c r="G23" s="327">
        <v>1000</v>
      </c>
      <c r="H23" s="324">
        <v>0.004515</v>
      </c>
      <c r="I23" s="325">
        <f t="shared" si="23"/>
        <v>221483.942414175</v>
      </c>
      <c r="J23" s="375">
        <v>16.72</v>
      </c>
      <c r="K23" s="501" t="s">
        <v>3067</v>
      </c>
      <c r="L23" s="377">
        <f t="shared" si="24"/>
        <v>4750123.70113805</v>
      </c>
      <c r="M23" s="377">
        <f t="shared" si="25"/>
        <v>4672400.97695657</v>
      </c>
      <c r="N23" s="502" t="s">
        <v>3073</v>
      </c>
      <c r="O23" s="378">
        <f t="shared" si="4"/>
        <v>232.9796115</v>
      </c>
      <c r="P23" s="379">
        <v>0</v>
      </c>
      <c r="Q23" s="379"/>
      <c r="R23" s="379"/>
      <c r="S23" s="379"/>
      <c r="T23" s="379"/>
      <c r="U23" s="379"/>
      <c r="V23" s="379">
        <v>0</v>
      </c>
      <c r="W23" s="379">
        <v>500</v>
      </c>
      <c r="X23" s="398">
        <f t="shared" si="5"/>
        <v>8360</v>
      </c>
      <c r="Y23" s="379">
        <v>1298</v>
      </c>
      <c r="Z23" s="402">
        <f>H23*C23/(H23*C23+H7*C7)/2</f>
        <v>0.178061674008811</v>
      </c>
      <c r="AA23" s="402">
        <f>(D23*H23)/(H7*D7+H23*D23+D93*H93)/2-5%</f>
        <v>0.195196063115138</v>
      </c>
      <c r="AB23" s="511">
        <f t="shared" si="6"/>
        <v>484.488542786886</v>
      </c>
      <c r="AC23" s="403">
        <f t="shared" si="7"/>
        <v>984.488542786886</v>
      </c>
      <c r="AD23" s="404">
        <f t="shared" si="26"/>
        <v>218048.403718026</v>
      </c>
      <c r="AE23" s="377">
        <f t="shared" si="9"/>
        <v>143073.892857143</v>
      </c>
      <c r="AF23" s="426">
        <f t="shared" si="10"/>
        <v>645.97862625</v>
      </c>
      <c r="AG23" s="427">
        <f t="shared" si="11"/>
        <v>319.708957064407</v>
      </c>
      <c r="AH23" s="517">
        <f>([2]S2新Ratio布料!AB16+[2]S2新Ratio布料!AB59+[2]S2新Ratio布料!AB77)*AA23</f>
        <v>18.8009594724782</v>
      </c>
      <c r="AI23" s="428"/>
      <c r="AJ23" s="428"/>
      <c r="AK23" s="428"/>
      <c r="AL23" s="429"/>
      <c r="AM23" s="429"/>
      <c r="AN23" s="429"/>
      <c r="AO23" s="428">
        <f t="shared" si="27"/>
        <v>1493808.4433295</v>
      </c>
    </row>
    <row r="24" ht="44.75" customHeight="1" spans="1:41">
      <c r="A24" s="318"/>
      <c r="B24" s="339"/>
      <c r="C24" s="320">
        <v>0.0466269841269841</v>
      </c>
      <c r="D24" s="320">
        <v>0.0474025974025974</v>
      </c>
      <c r="E24" s="491" t="s">
        <v>3102</v>
      </c>
      <c r="F24" s="490" t="s">
        <v>3103</v>
      </c>
      <c r="G24" s="323">
        <f>1300+700</f>
        <v>2000</v>
      </c>
      <c r="H24" s="324">
        <v>0.004515</v>
      </c>
      <c r="I24" s="325">
        <f t="shared" si="23"/>
        <v>442967.88482835</v>
      </c>
      <c r="J24" s="375">
        <v>13.56</v>
      </c>
      <c r="K24" s="501" t="s">
        <v>3067</v>
      </c>
      <c r="L24" s="377">
        <f t="shared" si="24"/>
        <v>9500247.40227611</v>
      </c>
      <c r="M24" s="377">
        <f t="shared" si="25"/>
        <v>9344801.95391314</v>
      </c>
      <c r="N24" s="502" t="s">
        <v>3104</v>
      </c>
      <c r="O24" s="378">
        <f t="shared" si="4"/>
        <v>232.9796115</v>
      </c>
      <c r="P24" s="379"/>
      <c r="Q24" s="379"/>
      <c r="R24" s="379">
        <f>393-20</f>
        <v>373</v>
      </c>
      <c r="S24" s="379"/>
      <c r="T24" s="379"/>
      <c r="U24" s="379"/>
      <c r="V24" s="379">
        <v>0</v>
      </c>
      <c r="W24" s="379">
        <v>400</v>
      </c>
      <c r="X24" s="398">
        <f t="shared" si="5"/>
        <v>10481.88</v>
      </c>
      <c r="Y24" s="379">
        <v>802</v>
      </c>
      <c r="Z24" s="402">
        <f>H24/(H24+H29+H34+H39+H43+H47+H51+H55)</f>
        <v>0.19634703196347</v>
      </c>
      <c r="AA24" s="402"/>
      <c r="AB24" s="511">
        <f t="shared" si="6"/>
        <v>157.470319634703</v>
      </c>
      <c r="AC24" s="403">
        <f t="shared" si="7"/>
        <v>930.470319634703</v>
      </c>
      <c r="AD24" s="404">
        <f t="shared" si="26"/>
        <v>206084.234692072</v>
      </c>
      <c r="AE24" s="377">
        <f t="shared" si="9"/>
        <v>143073.892857143</v>
      </c>
      <c r="AF24" s="426">
        <f t="shared" si="10"/>
        <v>645.97862625</v>
      </c>
      <c r="AG24" s="427">
        <f t="shared" si="11"/>
        <v>254.432592471461</v>
      </c>
      <c r="AH24" s="517">
        <f>([2]S2新Ratio布料!AB5+[2]S2新Ratio布料!AB9+[2]S2新Ratio布料!AB13+[2]S2新Ratio布料!AB17+[2]S2新Ratio布料!AB21+[2]S2新Ratio布料!AB26+[2]S2新Ratio布料!AB34+[2]S2新Ratio布料!AB53+[2]S2新Ratio布料!AB56+[2]S2新Ratio布料!AB71+[2]S2新Ratio布料!AB74)*Z24</f>
        <v>30.059100913242</v>
      </c>
      <c r="AI24" s="428"/>
      <c r="AJ24" s="428"/>
      <c r="AK24" s="428"/>
      <c r="AL24" s="429"/>
      <c r="AM24" s="429"/>
      <c r="AN24" s="429"/>
      <c r="AO24" s="428">
        <f t="shared" si="27"/>
        <v>1188811.09363325</v>
      </c>
    </row>
    <row r="25" customHeight="1" spans="1:41">
      <c r="A25" s="328"/>
      <c r="B25" s="337"/>
      <c r="C25" s="330">
        <v>0.0466269841269841</v>
      </c>
      <c r="D25" s="330">
        <v>0.0474025974025974</v>
      </c>
      <c r="E25" s="355" t="s">
        <v>3074</v>
      </c>
      <c r="F25" s="492"/>
      <c r="G25" s="333"/>
      <c r="H25" s="334">
        <v>1</v>
      </c>
      <c r="I25" s="353"/>
      <c r="J25" s="380">
        <v>1.67</v>
      </c>
      <c r="K25" s="503" t="s">
        <v>3067</v>
      </c>
      <c r="L25" s="382"/>
      <c r="M25" s="382"/>
      <c r="N25" s="337"/>
      <c r="O25" s="383">
        <f t="shared" si="4"/>
        <v>51601.2428571428</v>
      </c>
      <c r="P25" s="384">
        <v>19827</v>
      </c>
      <c r="Q25" s="384"/>
      <c r="R25" s="384">
        <f>400000*D25</f>
        <v>18961.038961039</v>
      </c>
      <c r="S25" s="384">
        <f>300000*$D$25</f>
        <v>14220.7792207792</v>
      </c>
      <c r="T25" s="384">
        <f>500000*$D$25</f>
        <v>23701.2987012987</v>
      </c>
      <c r="U25" s="384">
        <f>400000*$D$25</f>
        <v>18961.038961039</v>
      </c>
      <c r="V25" s="384">
        <v>23701.2987012987</v>
      </c>
      <c r="W25" s="384">
        <v>23702</v>
      </c>
      <c r="X25" s="398">
        <f t="shared" si="5"/>
        <v>238934.339090909</v>
      </c>
      <c r="Y25" s="384"/>
      <c r="Z25" s="406"/>
      <c r="AA25" s="406"/>
      <c r="AB25" s="513">
        <f t="shared" si="6"/>
        <v>0</v>
      </c>
      <c r="AC25" s="407">
        <f t="shared" si="7"/>
        <v>143074.454545455</v>
      </c>
      <c r="AD25" s="408"/>
      <c r="AE25" s="382">
        <f t="shared" si="9"/>
        <v>143073.892857143</v>
      </c>
      <c r="AF25" s="430">
        <f t="shared" si="10"/>
        <v>143073.892857143</v>
      </c>
      <c r="AG25" s="431">
        <f t="shared" si="11"/>
        <v>0.561688311689068</v>
      </c>
      <c r="AH25" s="518">
        <f>[2]S2新Ratio布料!AB34*AA25</f>
        <v>0</v>
      </c>
      <c r="AI25" s="432"/>
      <c r="AJ25" s="432"/>
      <c r="AK25" s="432"/>
      <c r="AL25" s="433"/>
      <c r="AM25" s="433"/>
      <c r="AN25" s="433"/>
      <c r="AO25" s="432"/>
    </row>
    <row r="26" customHeight="1" spans="1:41">
      <c r="A26" s="310"/>
      <c r="B26" s="372" t="s">
        <v>3105</v>
      </c>
      <c r="C26" s="312">
        <v>0.0466269841269841</v>
      </c>
      <c r="D26" s="312">
        <v>0.0474025974025974</v>
      </c>
      <c r="E26" s="486" t="s">
        <v>3106</v>
      </c>
      <c r="F26" s="487" t="s">
        <v>3107</v>
      </c>
      <c r="G26" s="315">
        <v>800</v>
      </c>
      <c r="H26" s="316">
        <v>0.006405</v>
      </c>
      <c r="I26" s="317">
        <f t="shared" ref="I26:I29" si="28">G26/H26</f>
        <v>124902.419984387</v>
      </c>
      <c r="J26" s="369">
        <v>28.6</v>
      </c>
      <c r="K26" s="500" t="s">
        <v>3067</v>
      </c>
      <c r="L26" s="371">
        <f t="shared" ref="L26:L29" si="29">G26/C26/H26</f>
        <v>2678758.28392048</v>
      </c>
      <c r="M26" s="371">
        <f t="shared" ref="M26:M29" si="30">G26/H26/D26</f>
        <v>2634927.7640542</v>
      </c>
      <c r="N26" s="372"/>
      <c r="O26" s="373">
        <f t="shared" si="4"/>
        <v>330.5059605</v>
      </c>
      <c r="P26" s="374">
        <v>800</v>
      </c>
      <c r="Q26" s="374"/>
      <c r="R26" s="374"/>
      <c r="S26" s="374"/>
      <c r="T26" s="374"/>
      <c r="U26" s="374"/>
      <c r="V26" s="374">
        <v>0</v>
      </c>
      <c r="W26" s="374">
        <v>800</v>
      </c>
      <c r="X26" s="398">
        <f t="shared" si="5"/>
        <v>45760</v>
      </c>
      <c r="Y26" s="374"/>
      <c r="Z26" s="399"/>
      <c r="AA26" s="399"/>
      <c r="AB26" s="509">
        <f t="shared" si="6"/>
        <v>0</v>
      </c>
      <c r="AC26" s="400">
        <f t="shared" si="7"/>
        <v>1600</v>
      </c>
      <c r="AD26" s="401">
        <f t="shared" ref="AD26:AD29" si="31">AC26/H26</f>
        <v>249804.839968774</v>
      </c>
      <c r="AE26" s="377">
        <f t="shared" si="9"/>
        <v>143073.892857143</v>
      </c>
      <c r="AF26" s="422">
        <f t="shared" si="10"/>
        <v>916.38828375</v>
      </c>
      <c r="AG26" s="423">
        <f t="shared" si="11"/>
        <v>683.61171625</v>
      </c>
      <c r="AH26" s="516">
        <f>[2]S2新Ratio布料!AB35*AA26</f>
        <v>0</v>
      </c>
      <c r="AI26" s="424">
        <f>$AI$4*C26</f>
        <v>4926.60714285714</v>
      </c>
      <c r="AJ26" s="424">
        <f>$AJ$4*D26</f>
        <v>138147.285714286</v>
      </c>
      <c r="AK26" s="424"/>
      <c r="AL26" s="425"/>
      <c r="AM26" s="425"/>
      <c r="AN26" s="425"/>
      <c r="AO26" s="424">
        <f t="shared" ref="AO26:AO29" si="32">AG26/H26/D26</f>
        <v>2251584.36372483</v>
      </c>
    </row>
    <row r="27" customHeight="1" spans="1:41">
      <c r="A27" s="318"/>
      <c r="B27" s="339"/>
      <c r="C27" s="320">
        <v>0.0466269841269841</v>
      </c>
      <c r="D27" s="320">
        <v>0.0474025974025974</v>
      </c>
      <c r="E27" s="491" t="s">
        <v>3108</v>
      </c>
      <c r="F27" s="490" t="s">
        <v>3109</v>
      </c>
      <c r="G27" s="327">
        <v>1000</v>
      </c>
      <c r="H27" s="324">
        <v>0.006405</v>
      </c>
      <c r="I27" s="325">
        <f t="shared" si="28"/>
        <v>156128.024980484</v>
      </c>
      <c r="J27" s="375">
        <v>16.72</v>
      </c>
      <c r="K27" s="501" t="s">
        <v>3067</v>
      </c>
      <c r="L27" s="377">
        <f t="shared" si="29"/>
        <v>3348447.85490059</v>
      </c>
      <c r="M27" s="377">
        <f t="shared" si="30"/>
        <v>3293659.70506774</v>
      </c>
      <c r="N27" s="502" t="s">
        <v>3110</v>
      </c>
      <c r="O27" s="378">
        <f t="shared" si="4"/>
        <v>330.5059605</v>
      </c>
      <c r="P27" s="379">
        <v>0</v>
      </c>
      <c r="Q27" s="379"/>
      <c r="R27" s="379"/>
      <c r="S27" s="379"/>
      <c r="T27" s="379"/>
      <c r="U27" s="379"/>
      <c r="V27" s="379">
        <v>0</v>
      </c>
      <c r="W27" s="379">
        <v>0</v>
      </c>
      <c r="X27" s="398">
        <f t="shared" si="5"/>
        <v>0</v>
      </c>
      <c r="Y27" s="379">
        <v>1785</v>
      </c>
      <c r="Z27" s="402"/>
      <c r="AA27" s="402">
        <v>1</v>
      </c>
      <c r="AB27" s="511">
        <f t="shared" si="6"/>
        <v>1785</v>
      </c>
      <c r="AC27" s="403">
        <f t="shared" si="7"/>
        <v>1785</v>
      </c>
      <c r="AD27" s="404">
        <f t="shared" si="31"/>
        <v>278688.524590164</v>
      </c>
      <c r="AE27" s="377">
        <f t="shared" si="9"/>
        <v>143073.892857143</v>
      </c>
      <c r="AF27" s="426">
        <f t="shared" si="10"/>
        <v>916.38828375</v>
      </c>
      <c r="AG27" s="427">
        <f t="shared" si="11"/>
        <v>788.06171625</v>
      </c>
      <c r="AH27" s="517">
        <f>[2]S2新Ratio布料!AB36*AA27</f>
        <v>80.55</v>
      </c>
      <c r="AI27" s="428"/>
      <c r="AJ27" s="428"/>
      <c r="AK27" s="428"/>
      <c r="AL27" s="429"/>
      <c r="AM27" s="429"/>
      <c r="AN27" s="429"/>
      <c r="AO27" s="428">
        <f t="shared" si="32"/>
        <v>2595607.11991916</v>
      </c>
    </row>
    <row r="28" customHeight="1" spans="1:41">
      <c r="A28" s="318"/>
      <c r="B28" s="339"/>
      <c r="C28" s="320">
        <v>0.0466269841269841</v>
      </c>
      <c r="D28" s="320">
        <v>0.0474025974025974</v>
      </c>
      <c r="E28" s="491" t="s">
        <v>3111</v>
      </c>
      <c r="F28" s="490" t="s">
        <v>3112</v>
      </c>
      <c r="G28" s="323">
        <v>500</v>
      </c>
      <c r="H28" s="354">
        <v>0.00273</v>
      </c>
      <c r="I28" s="325">
        <f t="shared" si="28"/>
        <v>183150.183150183</v>
      </c>
      <c r="J28" s="375">
        <v>17.6</v>
      </c>
      <c r="K28" s="501" t="s">
        <v>3067</v>
      </c>
      <c r="L28" s="377">
        <f t="shared" si="29"/>
        <v>3927986.90671031</v>
      </c>
      <c r="M28" s="377">
        <f t="shared" si="30"/>
        <v>3863716.19248332</v>
      </c>
      <c r="N28" s="339"/>
      <c r="O28" s="378">
        <f t="shared" si="4"/>
        <v>140.871393</v>
      </c>
      <c r="P28" s="379">
        <v>500</v>
      </c>
      <c r="Q28" s="379"/>
      <c r="R28" s="379"/>
      <c r="S28" s="379"/>
      <c r="T28" s="379"/>
      <c r="U28" s="379"/>
      <c r="V28" s="379">
        <v>0</v>
      </c>
      <c r="W28" s="379">
        <v>0</v>
      </c>
      <c r="X28" s="398">
        <f t="shared" si="5"/>
        <v>8800</v>
      </c>
      <c r="Y28" s="379"/>
      <c r="Z28" s="402"/>
      <c r="AA28" s="402"/>
      <c r="AB28" s="511">
        <f t="shared" si="6"/>
        <v>0</v>
      </c>
      <c r="AC28" s="403">
        <f t="shared" si="7"/>
        <v>500</v>
      </c>
      <c r="AD28" s="404">
        <f t="shared" si="31"/>
        <v>183150.183150183</v>
      </c>
      <c r="AE28" s="377">
        <f t="shared" si="9"/>
        <v>143073.892857143</v>
      </c>
      <c r="AF28" s="426">
        <f t="shared" si="10"/>
        <v>390.5917275</v>
      </c>
      <c r="AG28" s="427">
        <f t="shared" si="11"/>
        <v>109.4082725</v>
      </c>
      <c r="AH28" s="519">
        <f>[2]S2新Ratio布料!AB37*AA28</f>
        <v>0</v>
      </c>
      <c r="AI28" s="428"/>
      <c r="AJ28" s="428"/>
      <c r="AK28" s="428"/>
      <c r="AL28" s="429"/>
      <c r="AM28" s="429"/>
      <c r="AN28" s="429"/>
      <c r="AO28" s="428">
        <f t="shared" si="32"/>
        <v>845445.028099755</v>
      </c>
    </row>
    <row r="29" ht="44.75" customHeight="1" spans="1:41">
      <c r="A29" s="318"/>
      <c r="B29" s="339"/>
      <c r="C29" s="320">
        <v>0.0466269841269841</v>
      </c>
      <c r="D29" s="320">
        <v>0.0474025974025974</v>
      </c>
      <c r="E29" s="491" t="s">
        <v>3102</v>
      </c>
      <c r="F29" s="490" t="s">
        <v>3103</v>
      </c>
      <c r="G29" s="323">
        <f>1300+700</f>
        <v>2000</v>
      </c>
      <c r="H29" s="324">
        <v>0.003885</v>
      </c>
      <c r="I29" s="325">
        <f t="shared" si="28"/>
        <v>514800.514800515</v>
      </c>
      <c r="J29" s="375">
        <v>13.56</v>
      </c>
      <c r="K29" s="501" t="s">
        <v>3067</v>
      </c>
      <c r="L29" s="377">
        <f t="shared" si="29"/>
        <v>11040828.0621047</v>
      </c>
      <c r="M29" s="377">
        <f t="shared" si="30"/>
        <v>10860175.2437369</v>
      </c>
      <c r="N29" s="502" t="s">
        <v>3104</v>
      </c>
      <c r="O29" s="378">
        <f t="shared" si="4"/>
        <v>200.4708285</v>
      </c>
      <c r="P29" s="379"/>
      <c r="Q29" s="379"/>
      <c r="R29" s="379">
        <v>338</v>
      </c>
      <c r="S29" s="379"/>
      <c r="T29" s="379"/>
      <c r="U29" s="379"/>
      <c r="V29" s="379">
        <v>0</v>
      </c>
      <c r="W29" s="379">
        <v>300</v>
      </c>
      <c r="X29" s="398">
        <f t="shared" si="5"/>
        <v>8651.28</v>
      </c>
      <c r="Y29" s="379">
        <v>802</v>
      </c>
      <c r="Z29" s="402">
        <f>H29/(H24+H29+H34+H39+H43+H47+H51+H55)</f>
        <v>0.168949771689498</v>
      </c>
      <c r="AA29" s="402"/>
      <c r="AB29" s="511">
        <f t="shared" si="6"/>
        <v>135.497716894977</v>
      </c>
      <c r="AC29" s="403">
        <f t="shared" si="7"/>
        <v>773.497716894977</v>
      </c>
      <c r="AD29" s="404">
        <f t="shared" si="31"/>
        <v>199098.511427279</v>
      </c>
      <c r="AE29" s="377">
        <f t="shared" si="9"/>
        <v>143073.892857143</v>
      </c>
      <c r="AF29" s="426">
        <f t="shared" si="10"/>
        <v>555.84207375</v>
      </c>
      <c r="AG29" s="427">
        <f t="shared" si="11"/>
        <v>191.79083538242</v>
      </c>
      <c r="AH29" s="517">
        <f>([2]S2新Ratio布料!AB5+[2]S2新Ratio布料!AB9+[2]S2新Ratio布料!AB13+[2]S2新Ratio布料!AB17+[2]S2新Ratio布料!AB21+[2]S2新Ratio布料!AB26+[2]S2新Ratio布料!AB34+[2]S2新Ratio布料!AB53+[2]S2新Ratio布料!AB56+[2]S2新Ratio布料!AB71+[2]S2新Ratio布料!AB74)*Z29</f>
        <v>25.8648077625571</v>
      </c>
      <c r="AI29" s="428"/>
      <c r="AJ29" s="428"/>
      <c r="AK29" s="428"/>
      <c r="AL29" s="429"/>
      <c r="AM29" s="429"/>
      <c r="AN29" s="429"/>
      <c r="AO29" s="428">
        <f t="shared" si="32"/>
        <v>1041441.04119789</v>
      </c>
    </row>
    <row r="30" customHeight="1" spans="1:41">
      <c r="A30" s="328"/>
      <c r="B30" s="337"/>
      <c r="C30" s="330">
        <v>0.0466269841269841</v>
      </c>
      <c r="D30" s="330">
        <v>0.0474025974025974</v>
      </c>
      <c r="E30" s="355" t="s">
        <v>3074</v>
      </c>
      <c r="F30" s="492"/>
      <c r="G30" s="333"/>
      <c r="H30" s="334">
        <v>1</v>
      </c>
      <c r="I30" s="335"/>
      <c r="J30" s="380">
        <v>1.38</v>
      </c>
      <c r="K30" s="503" t="s">
        <v>3067</v>
      </c>
      <c r="L30" s="382"/>
      <c r="M30" s="382"/>
      <c r="N30" s="337"/>
      <c r="O30" s="383">
        <f t="shared" si="4"/>
        <v>51601.2428571428</v>
      </c>
      <c r="P30" s="384">
        <v>19827</v>
      </c>
      <c r="Q30" s="384"/>
      <c r="R30" s="384">
        <f>400000*D30</f>
        <v>18961.038961039</v>
      </c>
      <c r="S30" s="384">
        <f>300000*$D$30</f>
        <v>14220.7792207792</v>
      </c>
      <c r="T30" s="384">
        <f>500000*$D$30</f>
        <v>23701.2987012987</v>
      </c>
      <c r="U30" s="384">
        <f>400000*$D$30</f>
        <v>18961.038961039</v>
      </c>
      <c r="V30" s="384">
        <v>23701.2987012987</v>
      </c>
      <c r="W30" s="384">
        <v>23702</v>
      </c>
      <c r="X30" s="398">
        <f t="shared" si="5"/>
        <v>197442.747272727</v>
      </c>
      <c r="Y30" s="384"/>
      <c r="Z30" s="406"/>
      <c r="AA30" s="406"/>
      <c r="AB30" s="513">
        <f t="shared" si="6"/>
        <v>0</v>
      </c>
      <c r="AC30" s="407">
        <f t="shared" si="7"/>
        <v>143074.454545455</v>
      </c>
      <c r="AD30" s="408"/>
      <c r="AE30" s="382">
        <f t="shared" si="9"/>
        <v>143073.892857143</v>
      </c>
      <c r="AF30" s="430">
        <f t="shared" si="10"/>
        <v>143073.892857143</v>
      </c>
      <c r="AG30" s="431">
        <f t="shared" si="11"/>
        <v>0.561688311689068</v>
      </c>
      <c r="AH30" s="518">
        <f>[2]S2新Ratio布料!AB39*AA30</f>
        <v>0</v>
      </c>
      <c r="AI30" s="432"/>
      <c r="AJ30" s="432"/>
      <c r="AK30" s="432"/>
      <c r="AL30" s="433"/>
      <c r="AM30" s="433"/>
      <c r="AN30" s="433"/>
      <c r="AO30" s="432"/>
    </row>
    <row r="31" customHeight="1" spans="1:41">
      <c r="A31" s="310"/>
      <c r="B31" s="372" t="s">
        <v>3113</v>
      </c>
      <c r="C31" s="312">
        <v>0.0466269841269841</v>
      </c>
      <c r="D31" s="312">
        <v>0.0474025974025974</v>
      </c>
      <c r="E31" s="486" t="s">
        <v>3090</v>
      </c>
      <c r="F31" s="487" t="s">
        <v>3107</v>
      </c>
      <c r="G31" s="315">
        <v>2500</v>
      </c>
      <c r="H31" s="341">
        <v>0.016275</v>
      </c>
      <c r="I31" s="317">
        <f t="shared" ref="I31:I34" si="33">G31/H31</f>
        <v>153609.831029186</v>
      </c>
      <c r="J31" s="369">
        <v>25.3</v>
      </c>
      <c r="K31" s="500" t="s">
        <v>3067</v>
      </c>
      <c r="L31" s="371">
        <f t="shared" ref="L31:L34" si="34">G31/C31/H31</f>
        <v>3294440.63143446</v>
      </c>
      <c r="M31" s="371">
        <f t="shared" ref="M31:M34" si="35">G31/H31/D31</f>
        <v>3240536.16143762</v>
      </c>
      <c r="N31" s="372" t="s">
        <v>3114</v>
      </c>
      <c r="O31" s="373">
        <f t="shared" si="4"/>
        <v>839.8102275</v>
      </c>
      <c r="P31" s="374">
        <f>1098-229</f>
        <v>869</v>
      </c>
      <c r="Q31" s="374"/>
      <c r="R31" s="374"/>
      <c r="S31" s="374"/>
      <c r="T31" s="374">
        <v>700</v>
      </c>
      <c r="U31" s="374"/>
      <c r="V31" s="374">
        <v>1000</v>
      </c>
      <c r="W31" s="374">
        <v>0</v>
      </c>
      <c r="X31" s="398">
        <f t="shared" si="5"/>
        <v>64995.7</v>
      </c>
      <c r="Y31" s="374"/>
      <c r="Z31" s="399">
        <f>H31/(H16+H31+H62)</f>
        <v>0.439093484419263</v>
      </c>
      <c r="AA31" s="399"/>
      <c r="AB31" s="509">
        <f t="shared" si="6"/>
        <v>0</v>
      </c>
      <c r="AC31" s="400">
        <f t="shared" si="7"/>
        <v>2569</v>
      </c>
      <c r="AD31" s="401">
        <f t="shared" ref="AD31:AD34" si="36">AC31/H31</f>
        <v>157849.462365591</v>
      </c>
      <c r="AE31" s="377">
        <f t="shared" si="9"/>
        <v>143073.892857143</v>
      </c>
      <c r="AF31" s="422">
        <f t="shared" si="10"/>
        <v>2328.52760625</v>
      </c>
      <c r="AG31" s="423">
        <f t="shared" si="11"/>
        <v>240.47239375</v>
      </c>
      <c r="AH31" s="516">
        <f>[2]S2新Ratio布料!AB40*AA31</f>
        <v>0</v>
      </c>
      <c r="AI31" s="424">
        <f>$AI$4*C31</f>
        <v>4926.60714285714</v>
      </c>
      <c r="AJ31" s="424">
        <f>$AJ$4*D31</f>
        <v>138147.285714286</v>
      </c>
      <c r="AK31" s="424"/>
      <c r="AL31" s="425"/>
      <c r="AM31" s="425"/>
      <c r="AN31" s="425"/>
      <c r="AO31" s="424">
        <f t="shared" ref="AO31:AO34" si="37">AG31/H31/D31</f>
        <v>311703.795109737</v>
      </c>
    </row>
    <row r="32" customHeight="1" spans="1:41">
      <c r="A32" s="318"/>
      <c r="B32" s="339"/>
      <c r="C32" s="320">
        <v>0.0466269841269841</v>
      </c>
      <c r="D32" s="320">
        <v>0.0474025974025974</v>
      </c>
      <c r="E32" s="491" t="s">
        <v>3115</v>
      </c>
      <c r="F32" s="490" t="s">
        <v>3116</v>
      </c>
      <c r="G32" s="323">
        <v>500</v>
      </c>
      <c r="H32" s="342">
        <v>0.003255</v>
      </c>
      <c r="I32" s="325">
        <f t="shared" si="33"/>
        <v>153609.831029186</v>
      </c>
      <c r="J32" s="375">
        <v>19.8</v>
      </c>
      <c r="K32" s="501" t="s">
        <v>3067</v>
      </c>
      <c r="L32" s="377">
        <f t="shared" si="34"/>
        <v>3294440.63143446</v>
      </c>
      <c r="M32" s="377">
        <f t="shared" si="35"/>
        <v>3240536.16143762</v>
      </c>
      <c r="N32" s="391" t="s">
        <v>3117</v>
      </c>
      <c r="O32" s="378">
        <f t="shared" si="4"/>
        <v>167.9620455</v>
      </c>
      <c r="P32" s="379">
        <v>500</v>
      </c>
      <c r="Q32" s="379"/>
      <c r="R32" s="379"/>
      <c r="S32" s="379"/>
      <c r="T32" s="379"/>
      <c r="U32" s="379"/>
      <c r="V32" s="379">
        <v>0</v>
      </c>
      <c r="W32" s="379">
        <v>0</v>
      </c>
      <c r="X32" s="398">
        <f t="shared" si="5"/>
        <v>9900</v>
      </c>
      <c r="Y32" s="379"/>
      <c r="Z32" s="402">
        <f>H32/0.0099</f>
        <v>0.328787878787879</v>
      </c>
      <c r="AA32" s="402"/>
      <c r="AB32" s="511">
        <f t="shared" si="6"/>
        <v>0</v>
      </c>
      <c r="AC32" s="403">
        <f t="shared" si="7"/>
        <v>500</v>
      </c>
      <c r="AD32" s="404">
        <f t="shared" si="36"/>
        <v>153609.831029186</v>
      </c>
      <c r="AE32" s="377">
        <f t="shared" si="9"/>
        <v>143073.892857143</v>
      </c>
      <c r="AF32" s="426">
        <f t="shared" si="10"/>
        <v>465.70552125</v>
      </c>
      <c r="AG32" s="427">
        <f t="shared" si="11"/>
        <v>34.2944787500001</v>
      </c>
      <c r="AH32" s="517">
        <f>[2]S2新Ratio布料!AB41*AA32</f>
        <v>0</v>
      </c>
      <c r="AI32" s="428"/>
      <c r="AJ32" s="428"/>
      <c r="AK32" s="428"/>
      <c r="AL32" s="429"/>
      <c r="AM32" s="429"/>
      <c r="AN32" s="429"/>
      <c r="AO32" s="428">
        <f t="shared" si="37"/>
        <v>222264.997054058</v>
      </c>
    </row>
    <row r="33" customHeight="1" spans="1:41">
      <c r="A33" s="318"/>
      <c r="B33" s="339"/>
      <c r="C33" s="320">
        <v>0.0466269841269841</v>
      </c>
      <c r="D33" s="320">
        <v>0.0474025974025974</v>
      </c>
      <c r="E33" s="491" t="s">
        <v>3118</v>
      </c>
      <c r="F33" s="490"/>
      <c r="G33" s="323">
        <v>500</v>
      </c>
      <c r="H33" s="342">
        <v>0.000525</v>
      </c>
      <c r="I33" s="325">
        <f t="shared" si="33"/>
        <v>952380.952380952</v>
      </c>
      <c r="J33" s="375">
        <v>6.38</v>
      </c>
      <c r="K33" s="501" t="s">
        <v>3067</v>
      </c>
      <c r="L33" s="377">
        <f t="shared" si="34"/>
        <v>20425531.9148936</v>
      </c>
      <c r="M33" s="377">
        <f t="shared" si="35"/>
        <v>20091324.2009132</v>
      </c>
      <c r="N33" s="339"/>
      <c r="O33" s="378">
        <f t="shared" si="4"/>
        <v>27.0906525</v>
      </c>
      <c r="P33" s="379">
        <v>500</v>
      </c>
      <c r="Q33" s="379"/>
      <c r="R33" s="379"/>
      <c r="S33" s="379"/>
      <c r="T33" s="379"/>
      <c r="U33" s="379"/>
      <c r="V33" s="379">
        <v>0</v>
      </c>
      <c r="W33" s="379">
        <v>0</v>
      </c>
      <c r="X33" s="398">
        <f t="shared" si="5"/>
        <v>3190</v>
      </c>
      <c r="Y33" s="379"/>
      <c r="Z33" s="402"/>
      <c r="AA33" s="402"/>
      <c r="AB33" s="511">
        <f t="shared" si="6"/>
        <v>0</v>
      </c>
      <c r="AC33" s="403">
        <f t="shared" si="7"/>
        <v>500</v>
      </c>
      <c r="AD33" s="404">
        <f t="shared" si="36"/>
        <v>952380.952380952</v>
      </c>
      <c r="AE33" s="377">
        <f t="shared" si="9"/>
        <v>143073.892857143</v>
      </c>
      <c r="AF33" s="426">
        <f t="shared" si="10"/>
        <v>75.11379375</v>
      </c>
      <c r="AG33" s="427">
        <f t="shared" si="11"/>
        <v>424.88620625</v>
      </c>
      <c r="AH33" s="517">
        <f>[2]S2新Ratio布料!AB42*AA33</f>
        <v>0</v>
      </c>
      <c r="AI33" s="428"/>
      <c r="AJ33" s="428"/>
      <c r="AK33" s="428"/>
      <c r="AL33" s="429"/>
      <c r="AM33" s="429"/>
      <c r="AN33" s="429"/>
      <c r="AO33" s="428">
        <f t="shared" si="37"/>
        <v>17073053.0365297</v>
      </c>
    </row>
    <row r="34" ht="42" customHeight="1" spans="1:41">
      <c r="A34" s="318"/>
      <c r="B34" s="339"/>
      <c r="C34" s="320">
        <v>0.0466269841269841</v>
      </c>
      <c r="D34" s="320">
        <v>0.0474025974025974</v>
      </c>
      <c r="E34" s="491" t="s">
        <v>3102</v>
      </c>
      <c r="F34" s="490" t="s">
        <v>3103</v>
      </c>
      <c r="G34" s="323">
        <f>1300+700</f>
        <v>2000</v>
      </c>
      <c r="H34" s="342">
        <v>0.001575</v>
      </c>
      <c r="I34" s="325">
        <f t="shared" si="33"/>
        <v>1269841.26984127</v>
      </c>
      <c r="J34" s="375">
        <v>13.56</v>
      </c>
      <c r="K34" s="501" t="s">
        <v>3067</v>
      </c>
      <c r="L34" s="377">
        <f t="shared" si="34"/>
        <v>27234042.5531915</v>
      </c>
      <c r="M34" s="377">
        <f t="shared" si="35"/>
        <v>26788432.2678843</v>
      </c>
      <c r="N34" s="502" t="s">
        <v>3104</v>
      </c>
      <c r="O34" s="378">
        <f t="shared" si="4"/>
        <v>81.2719575</v>
      </c>
      <c r="P34" s="379"/>
      <c r="Q34" s="379"/>
      <c r="R34" s="379">
        <f>137-20</f>
        <v>117</v>
      </c>
      <c r="S34" s="379"/>
      <c r="T34" s="379"/>
      <c r="U34" s="379"/>
      <c r="V34" s="379">
        <v>0</v>
      </c>
      <c r="W34" s="379">
        <v>100</v>
      </c>
      <c r="X34" s="398">
        <f t="shared" si="5"/>
        <v>2942.52</v>
      </c>
      <c r="Y34" s="379">
        <v>802</v>
      </c>
      <c r="Z34" s="402">
        <f>H34/(H24+H29+H34+H39+H43+H47+H51+H55)</f>
        <v>0.0684931506849315</v>
      </c>
      <c r="AA34" s="402"/>
      <c r="AB34" s="511">
        <f t="shared" si="6"/>
        <v>54.9315068493151</v>
      </c>
      <c r="AC34" s="403">
        <f t="shared" si="7"/>
        <v>271.931506849315</v>
      </c>
      <c r="AD34" s="404">
        <f t="shared" si="36"/>
        <v>172654.924983692</v>
      </c>
      <c r="AE34" s="377">
        <f t="shared" si="9"/>
        <v>143073.892857143</v>
      </c>
      <c r="AF34" s="426">
        <f>([2]S2新Ratio布料!AB5+[2]S2新Ratio布料!AB9+[2]S2新Ratio布料!AB13+[2]S2新Ratio布料!AB17+[2]S2新Ratio布料!AB21+[2]S2新Ratio布料!AB26+[2]S2新Ratio布料!AB34+[2]S2新Ratio布料!AB53+[2]S2新Ratio布料!AB56+[2]S2新Ratio布料!AB71)*Z34</f>
        <v>9.88984246575342</v>
      </c>
      <c r="AG34" s="427">
        <f t="shared" si="11"/>
        <v>251.555931506849</v>
      </c>
      <c r="AH34" s="517">
        <f>([2]S2新Ratio布料!AB5+[2]S2新Ratio布料!AB9+[2]S2新Ratio布料!AB13+[2]S2新Ratio布料!AB17+[2]S2新Ratio布料!AB21+[2]S2新Ratio布料!AB26+[2]S2新Ratio布料!AB34+[2]S2新Ratio布料!AB53+[2]S2新Ratio布料!AB56+[2]S2新Ratio布料!AB71+[2]S2新Ratio布料!AB74)*Z34</f>
        <v>10.4857328767123</v>
      </c>
      <c r="AI34" s="428"/>
      <c r="AJ34" s="428"/>
      <c r="AK34" s="428"/>
      <c r="AL34" s="429"/>
      <c r="AM34" s="429"/>
      <c r="AN34" s="429"/>
      <c r="AO34" s="428">
        <f t="shared" si="37"/>
        <v>3369394.51637789</v>
      </c>
    </row>
    <row r="35" customHeight="1" spans="1:41">
      <c r="A35" s="328"/>
      <c r="B35" s="337"/>
      <c r="C35" s="330">
        <v>0.0466269841269841</v>
      </c>
      <c r="D35" s="330">
        <v>0.0474025974025974</v>
      </c>
      <c r="E35" s="355" t="s">
        <v>3074</v>
      </c>
      <c r="F35" s="492"/>
      <c r="G35" s="333"/>
      <c r="H35" s="334">
        <v>1</v>
      </c>
      <c r="I35" s="335"/>
      <c r="J35" s="380">
        <v>1.48</v>
      </c>
      <c r="K35" s="503" t="s">
        <v>3067</v>
      </c>
      <c r="L35" s="382"/>
      <c r="M35" s="382"/>
      <c r="N35" s="337"/>
      <c r="O35" s="383">
        <f t="shared" si="4"/>
        <v>51601.2428571428</v>
      </c>
      <c r="P35" s="384">
        <v>19827</v>
      </c>
      <c r="Q35" s="384"/>
      <c r="R35" s="384">
        <f>400000*D35</f>
        <v>18961.038961039</v>
      </c>
      <c r="S35" s="384">
        <f>300000*$D$35</f>
        <v>14220.7792207792</v>
      </c>
      <c r="T35" s="384">
        <f>500000*$D$35</f>
        <v>23701.2987012987</v>
      </c>
      <c r="U35" s="384">
        <f>400000*$D$35</f>
        <v>18961.038961039</v>
      </c>
      <c r="V35" s="384">
        <v>23701.2987012987</v>
      </c>
      <c r="W35" s="384">
        <v>23702</v>
      </c>
      <c r="X35" s="398">
        <f t="shared" si="5"/>
        <v>211750.192727273</v>
      </c>
      <c r="Y35" s="384"/>
      <c r="Z35" s="406"/>
      <c r="AA35" s="406"/>
      <c r="AB35" s="513">
        <f t="shared" si="6"/>
        <v>0</v>
      </c>
      <c r="AC35" s="407">
        <f t="shared" si="7"/>
        <v>143074.454545455</v>
      </c>
      <c r="AD35" s="408"/>
      <c r="AE35" s="382">
        <f t="shared" si="9"/>
        <v>143073.892857143</v>
      </c>
      <c r="AF35" s="430">
        <f t="shared" ref="AF35:AF38" si="38">AE35*H35</f>
        <v>143073.892857143</v>
      </c>
      <c r="AG35" s="431">
        <f t="shared" si="11"/>
        <v>0.561688311689068</v>
      </c>
      <c r="AH35" s="518">
        <f>[2]S2新Ratio布料!AB44*AA35</f>
        <v>0</v>
      </c>
      <c r="AI35" s="432"/>
      <c r="AJ35" s="432"/>
      <c r="AK35" s="432"/>
      <c r="AL35" s="433"/>
      <c r="AM35" s="433"/>
      <c r="AN35" s="433"/>
      <c r="AO35" s="432"/>
    </row>
    <row r="36" customHeight="1" spans="1:41">
      <c r="A36" s="310"/>
      <c r="B36" s="372" t="s">
        <v>3119</v>
      </c>
      <c r="C36" s="312">
        <v>0.0466269841269841</v>
      </c>
      <c r="D36" s="312">
        <v>0.0474025974025974</v>
      </c>
      <c r="E36" s="494" t="s">
        <v>3120</v>
      </c>
      <c r="F36" s="487" t="s">
        <v>3121</v>
      </c>
      <c r="G36" s="488">
        <f>2500-500</f>
        <v>2000</v>
      </c>
      <c r="H36" s="316">
        <v>0.01113</v>
      </c>
      <c r="I36" s="317">
        <f t="shared" ref="I36:I39" si="39">G36/H36</f>
        <v>179694.519317161</v>
      </c>
      <c r="J36" s="369">
        <v>25.3</v>
      </c>
      <c r="K36" s="500" t="s">
        <v>3067</v>
      </c>
      <c r="L36" s="371">
        <f t="shared" ref="L36:L39" si="40">G36/C36/H36</f>
        <v>3853873.94620635</v>
      </c>
      <c r="M36" s="371">
        <f t="shared" ref="M36:M39" si="41">G36/H36/D36</f>
        <v>3790815.88696476</v>
      </c>
      <c r="N36" s="372"/>
      <c r="O36" s="373">
        <f t="shared" si="4"/>
        <v>574.321833</v>
      </c>
      <c r="P36" s="374">
        <v>2000</v>
      </c>
      <c r="Q36" s="374"/>
      <c r="R36" s="374"/>
      <c r="S36" s="374"/>
      <c r="T36" s="374"/>
      <c r="U36" s="374"/>
      <c r="V36" s="374">
        <v>0</v>
      </c>
      <c r="W36" s="374">
        <v>0</v>
      </c>
      <c r="X36" s="398">
        <f t="shared" si="5"/>
        <v>50600</v>
      </c>
      <c r="Y36" s="374"/>
      <c r="Z36" s="410"/>
      <c r="AA36" s="410"/>
      <c r="AB36" s="509">
        <f t="shared" si="6"/>
        <v>0</v>
      </c>
      <c r="AC36" s="400">
        <f t="shared" si="7"/>
        <v>2000</v>
      </c>
      <c r="AD36" s="401">
        <f t="shared" ref="AD36:AD39" si="42">AC36/H36</f>
        <v>179694.519317161</v>
      </c>
      <c r="AE36" s="377">
        <f t="shared" si="9"/>
        <v>143073.892857143</v>
      </c>
      <c r="AF36" s="422">
        <f t="shared" si="38"/>
        <v>1592.4124275</v>
      </c>
      <c r="AG36" s="423">
        <f t="shared" si="11"/>
        <v>407.5875725</v>
      </c>
      <c r="AH36" s="516">
        <f>[2]S2新Ratio布料!AB45*AA36</f>
        <v>0</v>
      </c>
      <c r="AI36" s="424">
        <f>$AI$4*C36</f>
        <v>4926.60714285714</v>
      </c>
      <c r="AJ36" s="424">
        <f>$AJ$4*D36</f>
        <v>138147.285714286</v>
      </c>
      <c r="AK36" s="424"/>
      <c r="AL36" s="425"/>
      <c r="AM36" s="425"/>
      <c r="AN36" s="425"/>
      <c r="AO36" s="424">
        <f t="shared" ref="AO36:AO39" si="43">AG36/H36/D36</f>
        <v>772544.722581202</v>
      </c>
    </row>
    <row r="37" customHeight="1" spans="1:41">
      <c r="A37" s="318"/>
      <c r="B37" s="339"/>
      <c r="C37" s="320">
        <v>0.0466269841269841</v>
      </c>
      <c r="D37" s="320">
        <v>0.0474025974025974</v>
      </c>
      <c r="E37" s="491" t="s">
        <v>3122</v>
      </c>
      <c r="F37" s="490" t="s">
        <v>3123</v>
      </c>
      <c r="G37" s="495">
        <f>500-100</f>
        <v>400</v>
      </c>
      <c r="H37" s="324">
        <v>0.001155</v>
      </c>
      <c r="I37" s="325">
        <f t="shared" si="39"/>
        <v>346320.346320346</v>
      </c>
      <c r="J37" s="375">
        <v>17.6</v>
      </c>
      <c r="K37" s="501" t="s">
        <v>3067</v>
      </c>
      <c r="L37" s="377">
        <f t="shared" si="40"/>
        <v>7427466.15087041</v>
      </c>
      <c r="M37" s="377">
        <f t="shared" si="41"/>
        <v>7305936.07305936</v>
      </c>
      <c r="N37" s="339"/>
      <c r="O37" s="378">
        <f t="shared" si="4"/>
        <v>59.5994355</v>
      </c>
      <c r="P37" s="379">
        <v>400</v>
      </c>
      <c r="Q37" s="379"/>
      <c r="R37" s="379"/>
      <c r="S37" s="379"/>
      <c r="T37" s="379"/>
      <c r="U37" s="379"/>
      <c r="V37" s="379">
        <v>0</v>
      </c>
      <c r="W37" s="379">
        <v>0</v>
      </c>
      <c r="X37" s="398">
        <f t="shared" si="5"/>
        <v>7040</v>
      </c>
      <c r="Y37" s="379"/>
      <c r="Z37" s="463"/>
      <c r="AA37" s="463"/>
      <c r="AB37" s="511">
        <f t="shared" si="6"/>
        <v>0</v>
      </c>
      <c r="AC37" s="403">
        <f t="shared" si="7"/>
        <v>400</v>
      </c>
      <c r="AD37" s="404">
        <f t="shared" si="42"/>
        <v>346320.346320346</v>
      </c>
      <c r="AE37" s="377">
        <f t="shared" si="9"/>
        <v>143073.892857143</v>
      </c>
      <c r="AF37" s="426">
        <f t="shared" si="38"/>
        <v>165.25034625</v>
      </c>
      <c r="AG37" s="427">
        <f t="shared" si="11"/>
        <v>234.74965375</v>
      </c>
      <c r="AH37" s="517">
        <f>[2]S2新Ratio布料!AB46*AA37</f>
        <v>0</v>
      </c>
      <c r="AI37" s="428"/>
      <c r="AJ37" s="428"/>
      <c r="AK37" s="428"/>
      <c r="AL37" s="429"/>
      <c r="AM37" s="429"/>
      <c r="AN37" s="429"/>
      <c r="AO37" s="428">
        <f t="shared" si="43"/>
        <v>4287664.9086758</v>
      </c>
    </row>
    <row r="38" customHeight="1" spans="1:41">
      <c r="A38" s="318"/>
      <c r="B38" s="339"/>
      <c r="C38" s="320">
        <v>0.0466269841269841</v>
      </c>
      <c r="D38" s="320">
        <v>0.0474025974025974</v>
      </c>
      <c r="E38" s="491" t="s">
        <v>3124</v>
      </c>
      <c r="F38" s="490" t="s">
        <v>3125</v>
      </c>
      <c r="G38" s="495">
        <f>800-300</f>
        <v>500</v>
      </c>
      <c r="H38" s="324">
        <v>0.003255</v>
      </c>
      <c r="I38" s="325">
        <f t="shared" si="39"/>
        <v>153609.831029186</v>
      </c>
      <c r="J38" s="375">
        <v>32.45</v>
      </c>
      <c r="K38" s="501" t="s">
        <v>3067</v>
      </c>
      <c r="L38" s="377">
        <f t="shared" si="40"/>
        <v>3294440.63143446</v>
      </c>
      <c r="M38" s="377">
        <f t="shared" si="41"/>
        <v>3240536.16143762</v>
      </c>
      <c r="N38" s="339"/>
      <c r="O38" s="378">
        <f t="shared" si="4"/>
        <v>167.9620455</v>
      </c>
      <c r="P38" s="379">
        <v>500</v>
      </c>
      <c r="Q38" s="379"/>
      <c r="R38" s="379"/>
      <c r="S38" s="379"/>
      <c r="T38" s="379"/>
      <c r="U38" s="379"/>
      <c r="V38" s="379">
        <v>0</v>
      </c>
      <c r="W38" s="379">
        <v>0</v>
      </c>
      <c r="X38" s="398">
        <f t="shared" si="5"/>
        <v>16225</v>
      </c>
      <c r="Y38" s="379"/>
      <c r="Z38" s="402"/>
      <c r="AA38" s="402"/>
      <c r="AB38" s="511">
        <f t="shared" si="6"/>
        <v>0</v>
      </c>
      <c r="AC38" s="403">
        <f t="shared" si="7"/>
        <v>500</v>
      </c>
      <c r="AD38" s="404">
        <f t="shared" si="42"/>
        <v>153609.831029186</v>
      </c>
      <c r="AE38" s="377">
        <f t="shared" si="9"/>
        <v>143073.892857143</v>
      </c>
      <c r="AF38" s="426">
        <f t="shared" si="38"/>
        <v>465.70552125</v>
      </c>
      <c r="AG38" s="427">
        <f t="shared" si="11"/>
        <v>34.2944787500001</v>
      </c>
      <c r="AH38" s="517">
        <f>[2]S2新Ratio布料!AB48*AA39</f>
        <v>0</v>
      </c>
      <c r="AI38" s="428"/>
      <c r="AJ38" s="428"/>
      <c r="AK38" s="428"/>
      <c r="AL38" s="429"/>
      <c r="AM38" s="429"/>
      <c r="AN38" s="429"/>
      <c r="AO38" s="428">
        <f t="shared" si="43"/>
        <v>222264.997054058</v>
      </c>
    </row>
    <row r="39" ht="49.5" customHeight="1" spans="1:41">
      <c r="A39" s="318"/>
      <c r="B39" s="339"/>
      <c r="C39" s="320">
        <v>0.0466269841269841</v>
      </c>
      <c r="D39" s="320">
        <v>0.0474025974025974</v>
      </c>
      <c r="E39" s="491" t="s">
        <v>3102</v>
      </c>
      <c r="F39" s="490" t="s">
        <v>3103</v>
      </c>
      <c r="G39" s="323">
        <f>1300+700</f>
        <v>2000</v>
      </c>
      <c r="H39" s="324">
        <v>0.001575</v>
      </c>
      <c r="I39" s="325">
        <f t="shared" si="39"/>
        <v>1269841.26984127</v>
      </c>
      <c r="J39" s="375">
        <v>13.56</v>
      </c>
      <c r="K39" s="501" t="s">
        <v>3067</v>
      </c>
      <c r="L39" s="377">
        <f t="shared" si="40"/>
        <v>27234042.5531915</v>
      </c>
      <c r="M39" s="377">
        <f t="shared" si="41"/>
        <v>26788432.2678843</v>
      </c>
      <c r="N39" s="502" t="s">
        <v>3104</v>
      </c>
      <c r="O39" s="378">
        <f t="shared" si="4"/>
        <v>81.2719575</v>
      </c>
      <c r="P39" s="379"/>
      <c r="Q39" s="379"/>
      <c r="R39" s="379">
        <f>137-20</f>
        <v>117</v>
      </c>
      <c r="S39" s="379"/>
      <c r="T39" s="379"/>
      <c r="U39" s="379"/>
      <c r="V39" s="379">
        <v>0</v>
      </c>
      <c r="W39" s="379">
        <v>100</v>
      </c>
      <c r="X39" s="398">
        <f t="shared" si="5"/>
        <v>2942.52</v>
      </c>
      <c r="Y39" s="379">
        <v>802</v>
      </c>
      <c r="Z39" s="402">
        <f>H39/(H24+H29+H34+H39+H43+H47+H51+H55)</f>
        <v>0.0684931506849315</v>
      </c>
      <c r="AA39" s="402"/>
      <c r="AB39" s="511">
        <f t="shared" si="6"/>
        <v>54.9315068493151</v>
      </c>
      <c r="AC39" s="403">
        <f t="shared" si="7"/>
        <v>271.931506849315</v>
      </c>
      <c r="AD39" s="404">
        <f t="shared" si="42"/>
        <v>172654.924983692</v>
      </c>
      <c r="AE39" s="377">
        <f t="shared" si="9"/>
        <v>143073.892857143</v>
      </c>
      <c r="AF39" s="426">
        <f>([2]S2新Ratio布料!AB5+[2]S2新Ratio布料!AB9+[2]S2新Ratio布料!AB13+[2]S2新Ratio布料!AB17+[2]S2新Ratio布料!AB21+[2]S2新Ratio布料!AB26+[2]S2新Ratio布料!AB34+[2]S2新Ratio布料!AB53+[2]S2新Ratio布料!AB56+[2]S2新Ratio布料!AB71)*Z39</f>
        <v>9.88984246575342</v>
      </c>
      <c r="AG39" s="427">
        <f t="shared" si="11"/>
        <v>251.555931506849</v>
      </c>
      <c r="AH39" s="517">
        <f>([2]S2新Ratio布料!AB5+[2]S2新Ratio布料!AB9+[2]S2新Ratio布料!AB13+[2]S2新Ratio布料!AB17+[2]S2新Ratio布料!AB21+[2]S2新Ratio布料!AB26+[2]S2新Ratio布料!AB34+[2]S2新Ratio布料!AB53+[2]S2新Ratio布料!AB56+[2]S2新Ratio布料!AB71+[2]S2新Ratio布料!AB74)*Z39</f>
        <v>10.4857328767123</v>
      </c>
      <c r="AI39" s="428"/>
      <c r="AJ39" s="428"/>
      <c r="AK39" s="428"/>
      <c r="AL39" s="429"/>
      <c r="AM39" s="429"/>
      <c r="AN39" s="429"/>
      <c r="AO39" s="428">
        <f t="shared" si="43"/>
        <v>3369394.51637789</v>
      </c>
    </row>
    <row r="40" customHeight="1" spans="1:41">
      <c r="A40" s="328"/>
      <c r="B40" s="337"/>
      <c r="C40" s="330">
        <v>0.0466269841269841</v>
      </c>
      <c r="D40" s="330">
        <v>0.0474025974025974</v>
      </c>
      <c r="E40" s="355" t="s">
        <v>3074</v>
      </c>
      <c r="F40" s="492"/>
      <c r="G40" s="333"/>
      <c r="H40" s="334">
        <v>1</v>
      </c>
      <c r="I40" s="335"/>
      <c r="J40" s="380">
        <v>1.16</v>
      </c>
      <c r="K40" s="503" t="s">
        <v>3067</v>
      </c>
      <c r="L40" s="382"/>
      <c r="M40" s="382"/>
      <c r="N40" s="337"/>
      <c r="O40" s="383">
        <f t="shared" si="4"/>
        <v>51601.2428571428</v>
      </c>
      <c r="P40" s="384">
        <v>19827</v>
      </c>
      <c r="Q40" s="384"/>
      <c r="R40" s="384">
        <f>400000*D40</f>
        <v>18961.038961039</v>
      </c>
      <c r="S40" s="384">
        <f>300000*$D$40</f>
        <v>14220.7792207792</v>
      </c>
      <c r="T40" s="384">
        <f>500000*$D$40</f>
        <v>23701.2987012987</v>
      </c>
      <c r="U40" s="384">
        <f>400000*$D$40</f>
        <v>18961.038961039</v>
      </c>
      <c r="V40" s="384">
        <v>23701.2987012987</v>
      </c>
      <c r="W40" s="384">
        <v>23702</v>
      </c>
      <c r="X40" s="398">
        <f t="shared" si="5"/>
        <v>165966.367272727</v>
      </c>
      <c r="Y40" s="384"/>
      <c r="Z40" s="406"/>
      <c r="AA40" s="406"/>
      <c r="AB40" s="513">
        <f t="shared" si="6"/>
        <v>0</v>
      </c>
      <c r="AC40" s="407">
        <f t="shared" si="7"/>
        <v>143074.454545455</v>
      </c>
      <c r="AD40" s="408"/>
      <c r="AE40" s="382">
        <f t="shared" si="9"/>
        <v>143073.892857143</v>
      </c>
      <c r="AF40" s="430">
        <f t="shared" ref="AF40:AF42" si="44">AE40*H40</f>
        <v>143073.892857143</v>
      </c>
      <c r="AG40" s="431">
        <f t="shared" si="11"/>
        <v>0.561688311689068</v>
      </c>
      <c r="AH40" s="517">
        <f>[2]S2新Ratio布料!AB49*AA40</f>
        <v>0</v>
      </c>
      <c r="AI40" s="432"/>
      <c r="AJ40" s="432"/>
      <c r="AK40" s="432"/>
      <c r="AL40" s="433"/>
      <c r="AM40" s="433"/>
      <c r="AN40" s="433"/>
      <c r="AO40" s="432"/>
    </row>
    <row r="41" customHeight="1" spans="1:41">
      <c r="A41" s="310"/>
      <c r="B41" s="372" t="s">
        <v>3126</v>
      </c>
      <c r="C41" s="312">
        <v>0.0466269841269841</v>
      </c>
      <c r="D41" s="312">
        <v>0.0474025974025974</v>
      </c>
      <c r="E41" s="494" t="s">
        <v>3127</v>
      </c>
      <c r="F41" s="487" t="s">
        <v>3123</v>
      </c>
      <c r="G41" s="315">
        <v>500</v>
      </c>
      <c r="H41" s="316">
        <v>0.010605</v>
      </c>
      <c r="I41" s="317">
        <f t="shared" ref="I41:I43" si="45">G41/H41</f>
        <v>47147.5719000472</v>
      </c>
      <c r="J41" s="369">
        <v>17.6</v>
      </c>
      <c r="K41" s="500" t="s">
        <v>3067</v>
      </c>
      <c r="L41" s="371">
        <f t="shared" ref="L41:L43" si="46">G41/C41/H41</f>
        <v>1011164.94628186</v>
      </c>
      <c r="M41" s="371">
        <f t="shared" ref="M41:M43" si="47">G41/H41/D41</f>
        <v>994620.0099462</v>
      </c>
      <c r="N41" s="372"/>
      <c r="O41" s="373">
        <f t="shared" si="4"/>
        <v>547.2311805</v>
      </c>
      <c r="P41" s="374">
        <v>550</v>
      </c>
      <c r="Q41" s="374"/>
      <c r="R41" s="374"/>
      <c r="S41" s="374">
        <v>500</v>
      </c>
      <c r="T41" s="374"/>
      <c r="U41" s="374"/>
      <c r="V41" s="374">
        <v>500</v>
      </c>
      <c r="W41" s="374">
        <v>0</v>
      </c>
      <c r="X41" s="398">
        <f t="shared" ref="X41:X68" si="48">(P41+Q41+R41+S41)*J41</f>
        <v>18480</v>
      </c>
      <c r="Y41" s="374"/>
      <c r="Z41" s="399"/>
      <c r="AA41" s="399"/>
      <c r="AB41" s="509">
        <f t="shared" si="6"/>
        <v>0</v>
      </c>
      <c r="AC41" s="400">
        <f t="shared" si="7"/>
        <v>1550</v>
      </c>
      <c r="AD41" s="401">
        <f t="shared" ref="AD41:AD43" si="49">AC41/H41</f>
        <v>146157.472890146</v>
      </c>
      <c r="AE41" s="377">
        <f t="shared" si="9"/>
        <v>143073.892857143</v>
      </c>
      <c r="AF41" s="422">
        <f t="shared" si="44"/>
        <v>1517.29863375</v>
      </c>
      <c r="AG41" s="423">
        <f t="shared" si="11"/>
        <v>32.7013662500001</v>
      </c>
      <c r="AH41" s="516">
        <f>[2]S2新Ratio布料!AB50*AA41</f>
        <v>0</v>
      </c>
      <c r="AI41" s="424">
        <f>$AI$4*C41</f>
        <v>4926.60714285714</v>
      </c>
      <c r="AJ41" s="424">
        <f>$AJ$4*D41</f>
        <v>138147.285714286</v>
      </c>
      <c r="AK41" s="424"/>
      <c r="AL41" s="425"/>
      <c r="AM41" s="425"/>
      <c r="AN41" s="425"/>
      <c r="AO41" s="424">
        <f t="shared" ref="AO41:AO43" si="50">AG41/H41/D41</f>
        <v>65050.8664496589</v>
      </c>
    </row>
    <row r="42" customHeight="1" spans="1:41">
      <c r="A42" s="318"/>
      <c r="B42" s="339"/>
      <c r="C42" s="320">
        <v>0.0466269841269841</v>
      </c>
      <c r="D42" s="320">
        <v>0.0474025974025974</v>
      </c>
      <c r="E42" s="491" t="s">
        <v>3128</v>
      </c>
      <c r="F42" s="490" t="s">
        <v>3123</v>
      </c>
      <c r="G42" s="323">
        <v>500</v>
      </c>
      <c r="H42" s="324">
        <v>0.00777</v>
      </c>
      <c r="I42" s="325">
        <f t="shared" si="45"/>
        <v>64350.0643500643</v>
      </c>
      <c r="J42" s="375">
        <v>17.6</v>
      </c>
      <c r="K42" s="501" t="s">
        <v>3067</v>
      </c>
      <c r="L42" s="377">
        <f t="shared" si="46"/>
        <v>1380103.50776308</v>
      </c>
      <c r="M42" s="377">
        <f t="shared" si="47"/>
        <v>1357521.90546711</v>
      </c>
      <c r="N42" s="339"/>
      <c r="O42" s="378">
        <f t="shared" si="4"/>
        <v>400.941657</v>
      </c>
      <c r="P42" s="379">
        <v>500</v>
      </c>
      <c r="Q42" s="379"/>
      <c r="R42" s="379"/>
      <c r="S42" s="379"/>
      <c r="T42" s="379">
        <v>500</v>
      </c>
      <c r="U42" s="379"/>
      <c r="V42" s="379">
        <v>0</v>
      </c>
      <c r="W42" s="379">
        <v>500</v>
      </c>
      <c r="X42" s="398">
        <f t="shared" si="48"/>
        <v>8800</v>
      </c>
      <c r="Y42" s="379"/>
      <c r="Z42" s="402"/>
      <c r="AA42" s="402"/>
      <c r="AB42" s="511">
        <f t="shared" si="6"/>
        <v>0</v>
      </c>
      <c r="AC42" s="403">
        <f t="shared" si="7"/>
        <v>1500</v>
      </c>
      <c r="AD42" s="404">
        <f t="shared" si="49"/>
        <v>193050.193050193</v>
      </c>
      <c r="AE42" s="377">
        <f t="shared" si="9"/>
        <v>143073.892857143</v>
      </c>
      <c r="AF42" s="426">
        <f t="shared" si="44"/>
        <v>1111.6841475</v>
      </c>
      <c r="AG42" s="427">
        <f t="shared" si="11"/>
        <v>388.3158525</v>
      </c>
      <c r="AH42" s="517">
        <f>[2]S2新Ratio布料!AB51*AA42</f>
        <v>0</v>
      </c>
      <c r="AI42" s="428"/>
      <c r="AJ42" s="428"/>
      <c r="AK42" s="428"/>
      <c r="AL42" s="429"/>
      <c r="AM42" s="429"/>
      <c r="AN42" s="429"/>
      <c r="AO42" s="428">
        <f t="shared" si="50"/>
        <v>1054294.55201777</v>
      </c>
    </row>
    <row r="43" ht="46.5" customHeight="1" spans="1:41">
      <c r="A43" s="318"/>
      <c r="B43" s="339"/>
      <c r="C43" s="320">
        <v>0.0466269841269841</v>
      </c>
      <c r="D43" s="320">
        <v>0.0474025974025974</v>
      </c>
      <c r="E43" s="491" t="s">
        <v>3102</v>
      </c>
      <c r="F43" s="490" t="s">
        <v>3103</v>
      </c>
      <c r="G43" s="323">
        <f>1300+700</f>
        <v>2000</v>
      </c>
      <c r="H43" s="324">
        <v>0.001995</v>
      </c>
      <c r="I43" s="325">
        <f t="shared" si="45"/>
        <v>1002506.26566416</v>
      </c>
      <c r="J43" s="375">
        <v>13.56</v>
      </c>
      <c r="K43" s="501" t="s">
        <v>3067</v>
      </c>
      <c r="L43" s="377">
        <f t="shared" si="46"/>
        <v>21500559.9104143</v>
      </c>
      <c r="M43" s="377">
        <f t="shared" si="47"/>
        <v>21148762.3167508</v>
      </c>
      <c r="N43" s="502" t="s">
        <v>3104</v>
      </c>
      <c r="O43" s="378">
        <f t="shared" si="4"/>
        <v>102.9444795</v>
      </c>
      <c r="P43" s="379"/>
      <c r="Q43" s="379"/>
      <c r="R43" s="379">
        <f>174-50</f>
        <v>124</v>
      </c>
      <c r="S43" s="379"/>
      <c r="T43" s="379"/>
      <c r="U43" s="379"/>
      <c r="V43" s="379">
        <v>0</v>
      </c>
      <c r="W43" s="379">
        <v>100</v>
      </c>
      <c r="X43" s="398">
        <f t="shared" si="48"/>
        <v>1681.44</v>
      </c>
      <c r="Y43" s="379">
        <v>802</v>
      </c>
      <c r="Z43" s="402">
        <f>H43/(H24+H29+H34+H39+H43+H47+H51+H55)</f>
        <v>0.0867579908675799</v>
      </c>
      <c r="AA43" s="402"/>
      <c r="AB43" s="511">
        <f t="shared" si="6"/>
        <v>69.5799086757991</v>
      </c>
      <c r="AC43" s="403">
        <f t="shared" si="7"/>
        <v>293.579908675799</v>
      </c>
      <c r="AD43" s="404">
        <f t="shared" si="49"/>
        <v>147157.8489603</v>
      </c>
      <c r="AE43" s="377">
        <f t="shared" si="9"/>
        <v>143073.892857143</v>
      </c>
      <c r="AF43" s="426">
        <f>([2]S2新Ratio布料!AB5+[2]S2新Ratio布料!AB9+[2]S2新Ratio布料!AB13+[2]S2新Ratio布料!AB17+[2]S2新Ratio布料!AB21+[2]S2新Ratio布料!AB26+[2]S2新Ratio布料!AB34+[2]S2新Ratio布料!AB53+[2]S2新Ratio布料!AB56+[2]S2新Ratio布料!AB71)*Z43</f>
        <v>12.5271337899543</v>
      </c>
      <c r="AG43" s="427">
        <f t="shared" si="11"/>
        <v>267.770846575342</v>
      </c>
      <c r="AH43" s="517">
        <f>([2]S2新Ratio布料!AB5+[2]S2新Ratio布料!AB9+[2]S2新Ratio布料!AB13+[2]S2新Ratio布料!AB17+[2]S2新Ratio布料!AB21+[2]S2新Ratio布料!AB26+[2]S2新Ratio布料!AB34+[2]S2新Ratio布料!AB53+[2]S2新Ratio布料!AB56+[2]S2新Ratio布料!AB71+[2]S2新Ratio布料!AB74)*Z43</f>
        <v>13.2819283105023</v>
      </c>
      <c r="AI43" s="428"/>
      <c r="AJ43" s="428"/>
      <c r="AK43" s="428"/>
      <c r="AL43" s="429"/>
      <c r="AM43" s="429"/>
      <c r="AN43" s="429"/>
      <c r="AO43" s="428">
        <f t="shared" si="50"/>
        <v>2831510.99478853</v>
      </c>
    </row>
    <row r="44" customHeight="1" spans="1:41">
      <c r="A44" s="328"/>
      <c r="B44" s="337"/>
      <c r="C44" s="330">
        <v>0.0466269841269841</v>
      </c>
      <c r="D44" s="330">
        <v>0.0474025974025974</v>
      </c>
      <c r="E44" s="355" t="s">
        <v>3074</v>
      </c>
      <c r="F44" s="492"/>
      <c r="G44" s="333"/>
      <c r="H44" s="334">
        <v>1</v>
      </c>
      <c r="I44" s="335"/>
      <c r="J44" s="380">
        <v>1.77</v>
      </c>
      <c r="K44" s="503" t="s">
        <v>3067</v>
      </c>
      <c r="L44" s="382"/>
      <c r="M44" s="382"/>
      <c r="N44" s="337"/>
      <c r="O44" s="383">
        <f t="shared" si="4"/>
        <v>51601.2428571428</v>
      </c>
      <c r="P44" s="384">
        <v>19827</v>
      </c>
      <c r="Q44" s="384"/>
      <c r="R44" s="384">
        <f>400000*D44</f>
        <v>18961.038961039</v>
      </c>
      <c r="S44" s="384">
        <f>300000*$D$44</f>
        <v>14220.7792207792</v>
      </c>
      <c r="T44" s="384">
        <f>500000*$D$44</f>
        <v>23701.2987012987</v>
      </c>
      <c r="U44" s="384">
        <f>400000*$D$44</f>
        <v>18961.038961039</v>
      </c>
      <c r="V44" s="384">
        <v>23701.2987012987</v>
      </c>
      <c r="W44" s="384">
        <v>23702</v>
      </c>
      <c r="X44" s="405">
        <f t="shared" si="48"/>
        <v>93825.6081818182</v>
      </c>
      <c r="Y44" s="384"/>
      <c r="Z44" s="406"/>
      <c r="AA44" s="406"/>
      <c r="AB44" s="513">
        <f t="shared" si="6"/>
        <v>0</v>
      </c>
      <c r="AC44" s="407">
        <f t="shared" si="7"/>
        <v>143074.454545455</v>
      </c>
      <c r="AD44" s="408"/>
      <c r="AE44" s="382">
        <f t="shared" si="9"/>
        <v>143073.892857143</v>
      </c>
      <c r="AF44" s="430">
        <f t="shared" ref="AF44:AF75" si="51">AE44*H44</f>
        <v>143073.892857143</v>
      </c>
      <c r="AG44" s="431">
        <f t="shared" si="11"/>
        <v>0.561688311689068</v>
      </c>
      <c r="AH44" s="517">
        <f>[2]S2新Ratio布料!AB53*AA44</f>
        <v>0</v>
      </c>
      <c r="AI44" s="432"/>
      <c r="AJ44" s="432"/>
      <c r="AK44" s="432"/>
      <c r="AL44" s="433"/>
      <c r="AM44" s="433"/>
      <c r="AN44" s="433"/>
      <c r="AO44" s="432"/>
    </row>
    <row r="45" ht="45" spans="1:41">
      <c r="A45" s="310"/>
      <c r="B45" s="372" t="s">
        <v>3129</v>
      </c>
      <c r="C45" s="312">
        <v>0.0466269841269841</v>
      </c>
      <c r="D45" s="312">
        <v>0.0474025974025974</v>
      </c>
      <c r="E45" s="486" t="s">
        <v>3130</v>
      </c>
      <c r="F45" s="487" t="s">
        <v>3131</v>
      </c>
      <c r="G45" s="488">
        <f>2500-500</f>
        <v>2000</v>
      </c>
      <c r="H45" s="316">
        <v>0.007245</v>
      </c>
      <c r="I45" s="317">
        <f t="shared" ref="I45:I47" si="52">G45/H45</f>
        <v>276052.449965493</v>
      </c>
      <c r="J45" s="369">
        <v>25.3</v>
      </c>
      <c r="K45" s="500" t="s">
        <v>3067</v>
      </c>
      <c r="L45" s="371">
        <f t="shared" ref="L45:L47" si="53">G45/C45/H45</f>
        <v>5920444.0333025</v>
      </c>
      <c r="M45" s="371">
        <f t="shared" ref="M45:M47" si="54">G45/H45/D45</f>
        <v>5823572.23214877</v>
      </c>
      <c r="N45" s="372"/>
      <c r="O45" s="373">
        <f t="shared" si="4"/>
        <v>373.8510045</v>
      </c>
      <c r="P45" s="374">
        <v>2000</v>
      </c>
      <c r="Q45" s="374"/>
      <c r="R45" s="374"/>
      <c r="S45" s="374"/>
      <c r="T45" s="374"/>
      <c r="U45" s="374"/>
      <c r="V45" s="374">
        <v>0</v>
      </c>
      <c r="W45" s="374">
        <v>0</v>
      </c>
      <c r="X45" s="398">
        <f t="shared" si="48"/>
        <v>50600</v>
      </c>
      <c r="Y45" s="374"/>
      <c r="Z45" s="399"/>
      <c r="AA45" s="399"/>
      <c r="AB45" s="509">
        <f t="shared" si="6"/>
        <v>0</v>
      </c>
      <c r="AC45" s="400">
        <f t="shared" si="7"/>
        <v>2000</v>
      </c>
      <c r="AD45" s="401">
        <f t="shared" ref="AD45:AD47" si="55">AC45/H45</f>
        <v>276052.449965493</v>
      </c>
      <c r="AE45" s="377">
        <f t="shared" si="9"/>
        <v>194834.892857143</v>
      </c>
      <c r="AF45" s="422">
        <f t="shared" si="51"/>
        <v>1411.57879875</v>
      </c>
      <c r="AG45" s="423">
        <f t="shared" si="11"/>
        <v>588.42120125</v>
      </c>
      <c r="AH45" s="516">
        <f>[2]S2新Ratio布料!AB54*AA45</f>
        <v>0</v>
      </c>
      <c r="AI45" s="424">
        <f>$AI$4*C45</f>
        <v>4926.60714285714</v>
      </c>
      <c r="AJ45" s="424">
        <f>$AJ$4*D45</f>
        <v>138147.285714286</v>
      </c>
      <c r="AK45" s="424">
        <f t="shared" ref="AK45:AK48" si="56">15970+11700+22330</f>
        <v>50000</v>
      </c>
      <c r="AL45" s="425"/>
      <c r="AM45" s="425"/>
      <c r="AN45" s="425">
        <v>1761</v>
      </c>
      <c r="AO45" s="424">
        <f t="shared" ref="AO45:AO47" si="57">AG45/H45/D45</f>
        <v>1713356.68420356</v>
      </c>
    </row>
    <row r="46" customHeight="1" spans="1:41">
      <c r="A46" s="318"/>
      <c r="B46" s="339"/>
      <c r="C46" s="320">
        <v>0.0466269841269841</v>
      </c>
      <c r="D46" s="320">
        <v>0.0474025974025974</v>
      </c>
      <c r="E46" s="491" t="s">
        <v>3132</v>
      </c>
      <c r="F46" s="490" t="s">
        <v>3133</v>
      </c>
      <c r="G46" s="323">
        <v>500</v>
      </c>
      <c r="H46" s="324">
        <v>0.009555</v>
      </c>
      <c r="I46" s="325">
        <f t="shared" si="52"/>
        <v>52328.6237571952</v>
      </c>
      <c r="J46" s="375">
        <v>17.6</v>
      </c>
      <c r="K46" s="501" t="s">
        <v>3067</v>
      </c>
      <c r="L46" s="377">
        <f t="shared" si="53"/>
        <v>1122281.9733458</v>
      </c>
      <c r="M46" s="377">
        <f t="shared" si="54"/>
        <v>1103918.91213809</v>
      </c>
      <c r="N46" s="339"/>
      <c r="O46" s="378">
        <f t="shared" si="4"/>
        <v>493.0498755</v>
      </c>
      <c r="P46" s="379">
        <v>500</v>
      </c>
      <c r="Q46" s="379"/>
      <c r="R46" s="379"/>
      <c r="S46" s="379">
        <v>500</v>
      </c>
      <c r="T46" s="379">
        <v>500</v>
      </c>
      <c r="U46" s="379"/>
      <c r="V46" s="379">
        <v>500</v>
      </c>
      <c r="W46" s="379">
        <v>500</v>
      </c>
      <c r="X46" s="398">
        <f t="shared" si="48"/>
        <v>17600</v>
      </c>
      <c r="Y46" s="379"/>
      <c r="Z46" s="402"/>
      <c r="AA46" s="402"/>
      <c r="AB46" s="511">
        <f t="shared" si="6"/>
        <v>0</v>
      </c>
      <c r="AC46" s="403">
        <f t="shared" si="7"/>
        <v>2500</v>
      </c>
      <c r="AD46" s="404">
        <f t="shared" si="55"/>
        <v>261643.118785976</v>
      </c>
      <c r="AE46" s="377">
        <f t="shared" si="9"/>
        <v>194834.892857143</v>
      </c>
      <c r="AF46" s="426">
        <f t="shared" si="51"/>
        <v>1861.64740125</v>
      </c>
      <c r="AG46" s="427">
        <f t="shared" si="11"/>
        <v>638.35259875</v>
      </c>
      <c r="AH46" s="517">
        <f>[2]S2新Ratio布料!AB55*AA46</f>
        <v>0</v>
      </c>
      <c r="AI46" s="428"/>
      <c r="AJ46" s="428"/>
      <c r="AK46" s="428">
        <f t="shared" si="56"/>
        <v>50000</v>
      </c>
      <c r="AL46" s="429"/>
      <c r="AM46" s="429"/>
      <c r="AN46" s="429">
        <v>1761</v>
      </c>
      <c r="AO46" s="428">
        <f t="shared" si="57"/>
        <v>1409379.01274525</v>
      </c>
    </row>
    <row r="47" ht="63" customHeight="1" spans="1:41">
      <c r="A47" s="318"/>
      <c r="B47" s="339"/>
      <c r="C47" s="320">
        <v>0.0466269841269841</v>
      </c>
      <c r="D47" s="320">
        <v>0.0474025974025974</v>
      </c>
      <c r="E47" s="491" t="s">
        <v>3102</v>
      </c>
      <c r="F47" s="490" t="s">
        <v>3134</v>
      </c>
      <c r="G47" s="323">
        <f>1300+700</f>
        <v>2000</v>
      </c>
      <c r="H47" s="324">
        <v>0.00315</v>
      </c>
      <c r="I47" s="325">
        <f t="shared" si="52"/>
        <v>634920.634920635</v>
      </c>
      <c r="J47" s="375">
        <v>13.56</v>
      </c>
      <c r="K47" s="501" t="s">
        <v>3067</v>
      </c>
      <c r="L47" s="377">
        <f t="shared" si="53"/>
        <v>13617021.2765958</v>
      </c>
      <c r="M47" s="377">
        <f t="shared" si="54"/>
        <v>13394216.1339422</v>
      </c>
      <c r="N47" s="502" t="s">
        <v>3104</v>
      </c>
      <c r="O47" s="378">
        <f t="shared" si="4"/>
        <v>162.543915</v>
      </c>
      <c r="P47" s="379"/>
      <c r="Q47" s="379"/>
      <c r="R47" s="379">
        <f>274+20+20+20+50</f>
        <v>384</v>
      </c>
      <c r="S47" s="379"/>
      <c r="T47" s="379"/>
      <c r="U47" s="379"/>
      <c r="V47" s="379">
        <v>0</v>
      </c>
      <c r="W47" s="379">
        <v>400</v>
      </c>
      <c r="X47" s="398">
        <f t="shared" si="48"/>
        <v>5207.04</v>
      </c>
      <c r="Y47" s="379">
        <v>802</v>
      </c>
      <c r="Z47" s="402">
        <f>H47/(H24+H29+H34+H39+H43+H47+H51+H55)</f>
        <v>0.136986301369863</v>
      </c>
      <c r="AA47" s="402"/>
      <c r="AB47" s="511">
        <f t="shared" si="6"/>
        <v>109.86301369863</v>
      </c>
      <c r="AC47" s="403">
        <f t="shared" si="7"/>
        <v>893.86301369863</v>
      </c>
      <c r="AD47" s="404">
        <f t="shared" si="55"/>
        <v>283766.036094803</v>
      </c>
      <c r="AE47" s="377">
        <f t="shared" si="9"/>
        <v>194834.892857143</v>
      </c>
      <c r="AF47" s="426">
        <f t="shared" si="51"/>
        <v>613.7299125</v>
      </c>
      <c r="AG47" s="427">
        <f t="shared" si="11"/>
        <v>259.161635445205</v>
      </c>
      <c r="AH47" s="517">
        <f>([2]S2新Ratio布料!AB5+[2]S2新Ratio布料!AB9+[2]S2新Ratio布料!AB13+[2]S2新Ratio布料!AB17+[2]S2新Ratio布料!AB21+[2]S2新Ratio布料!AB26+[2]S2新Ratio布料!AB34+[2]S2新Ratio布料!AB53+[2]S2新Ratio布料!AB56+[2]S2新Ratio布料!AB71+[2]S2新Ratio布料!AB74)*Z47</f>
        <v>20.9714657534247</v>
      </c>
      <c r="AI47" s="428"/>
      <c r="AJ47" s="428"/>
      <c r="AK47" s="428">
        <f t="shared" si="56"/>
        <v>50000</v>
      </c>
      <c r="AL47" s="429"/>
      <c r="AM47" s="429"/>
      <c r="AN47" s="429">
        <v>1761</v>
      </c>
      <c r="AO47" s="428">
        <f t="shared" si="57"/>
        <v>1735633.4793895</v>
      </c>
    </row>
    <row r="48" customHeight="1" spans="1:41">
      <c r="A48" s="328"/>
      <c r="B48" s="337"/>
      <c r="C48" s="330">
        <v>0.0466269841269841</v>
      </c>
      <c r="D48" s="330">
        <v>0.0474025974025974</v>
      </c>
      <c r="E48" s="355" t="s">
        <v>3074</v>
      </c>
      <c r="F48" s="492"/>
      <c r="G48" s="333"/>
      <c r="H48" s="334">
        <v>1</v>
      </c>
      <c r="I48" s="335"/>
      <c r="J48" s="380">
        <v>1.62</v>
      </c>
      <c r="K48" s="503" t="s">
        <v>3067</v>
      </c>
      <c r="L48" s="382"/>
      <c r="M48" s="382"/>
      <c r="N48" s="337"/>
      <c r="O48" s="383">
        <f t="shared" si="4"/>
        <v>51601.2428571428</v>
      </c>
      <c r="P48" s="384">
        <v>19827.1396103896</v>
      </c>
      <c r="Q48" s="384"/>
      <c r="R48" s="384">
        <f>400000*D48</f>
        <v>18961.038961039</v>
      </c>
      <c r="S48" s="384">
        <f>300000*$D$48+27670+1761</f>
        <v>43651.7792207792</v>
      </c>
      <c r="T48" s="384">
        <f>500000*$D$48+22330</f>
        <v>46031.2987012987</v>
      </c>
      <c r="U48" s="384">
        <f>400000*$D$48</f>
        <v>18961.038961039</v>
      </c>
      <c r="V48" s="384">
        <v>33701.2987012987</v>
      </c>
      <c r="W48" s="384">
        <v>28702</v>
      </c>
      <c r="X48" s="405">
        <f t="shared" si="48"/>
        <v>133552.731623377</v>
      </c>
      <c r="Y48" s="384"/>
      <c r="Z48" s="406"/>
      <c r="AA48" s="406"/>
      <c r="AB48" s="513">
        <f t="shared" si="6"/>
        <v>0</v>
      </c>
      <c r="AC48" s="407">
        <f t="shared" si="7"/>
        <v>209835.594155844</v>
      </c>
      <c r="AD48" s="408"/>
      <c r="AE48" s="382">
        <f t="shared" si="9"/>
        <v>194834.892857143</v>
      </c>
      <c r="AF48" s="430">
        <f t="shared" si="51"/>
        <v>194834.892857143</v>
      </c>
      <c r="AG48" s="431">
        <f t="shared" si="11"/>
        <v>15000.7012987013</v>
      </c>
      <c r="AH48" s="517">
        <f>[2]S2新Ratio布料!AB57*AA48</f>
        <v>0</v>
      </c>
      <c r="AI48" s="432"/>
      <c r="AJ48" s="432"/>
      <c r="AK48" s="432">
        <f t="shared" si="56"/>
        <v>50000</v>
      </c>
      <c r="AL48" s="433"/>
      <c r="AM48" s="433"/>
      <c r="AN48" s="433">
        <v>1761</v>
      </c>
      <c r="AO48" s="432"/>
    </row>
    <row r="49" customHeight="1" spans="1:41">
      <c r="A49" s="310"/>
      <c r="B49" s="372" t="s">
        <v>3135</v>
      </c>
      <c r="C49" s="312">
        <v>0.0466269841269841</v>
      </c>
      <c r="D49" s="312">
        <v>0.0474025974025974</v>
      </c>
      <c r="E49" s="494" t="s">
        <v>3136</v>
      </c>
      <c r="F49" s="487" t="s">
        <v>3131</v>
      </c>
      <c r="G49" s="488">
        <f>2500-500</f>
        <v>2000</v>
      </c>
      <c r="H49" s="316">
        <v>0.007245</v>
      </c>
      <c r="I49" s="317">
        <f t="shared" ref="I49:I51" si="58">G49/H49</f>
        <v>276052.449965493</v>
      </c>
      <c r="J49" s="369">
        <v>25.3</v>
      </c>
      <c r="K49" s="500" t="s">
        <v>3067</v>
      </c>
      <c r="L49" s="371">
        <f t="shared" ref="L49:L51" si="59">G49/C49/H49</f>
        <v>5920444.0333025</v>
      </c>
      <c r="M49" s="371">
        <f t="shared" ref="M49:M51" si="60">G49/H49/D49</f>
        <v>5823572.23214877</v>
      </c>
      <c r="N49" s="372"/>
      <c r="O49" s="373">
        <f t="shared" si="4"/>
        <v>373.8510045</v>
      </c>
      <c r="P49" s="374">
        <v>2000</v>
      </c>
      <c r="Q49" s="374"/>
      <c r="R49" s="374"/>
      <c r="S49" s="374"/>
      <c r="T49" s="374"/>
      <c r="U49" s="374"/>
      <c r="V49" s="374">
        <v>0</v>
      </c>
      <c r="W49" s="374">
        <v>0</v>
      </c>
      <c r="X49" s="398">
        <f t="shared" si="48"/>
        <v>50600</v>
      </c>
      <c r="Y49" s="374"/>
      <c r="Z49" s="399"/>
      <c r="AA49" s="399"/>
      <c r="AB49" s="509">
        <f t="shared" si="6"/>
        <v>0</v>
      </c>
      <c r="AC49" s="400">
        <f t="shared" si="7"/>
        <v>2000</v>
      </c>
      <c r="AD49" s="401">
        <f t="shared" ref="AD49:AD51" si="61">AC49/H49</f>
        <v>276052.449965493</v>
      </c>
      <c r="AE49" s="377">
        <f t="shared" si="9"/>
        <v>143073.892857143</v>
      </c>
      <c r="AF49" s="422">
        <f t="shared" si="51"/>
        <v>1036.57035375</v>
      </c>
      <c r="AG49" s="423">
        <f t="shared" si="11"/>
        <v>963.42964625</v>
      </c>
      <c r="AH49" s="516">
        <f>[2]S2新Ratio布料!AB58*AA49</f>
        <v>0</v>
      </c>
      <c r="AI49" s="424">
        <f>$AI$4*C49</f>
        <v>4926.60714285714</v>
      </c>
      <c r="AJ49" s="424">
        <f>$AJ$4*D49</f>
        <v>138147.285714286</v>
      </c>
      <c r="AK49" s="424"/>
      <c r="AL49" s="425"/>
      <c r="AM49" s="425"/>
      <c r="AN49" s="425"/>
      <c r="AO49" s="424">
        <f t="shared" ref="AO49:AO51" si="62">AG49/H49/D49</f>
        <v>2805301.06776521</v>
      </c>
    </row>
    <row r="50" customHeight="1" spans="1:42">
      <c r="A50" s="318"/>
      <c r="B50" s="339"/>
      <c r="C50" s="320">
        <v>0.0466269841269841</v>
      </c>
      <c r="D50" s="320">
        <v>0.0474025974025974</v>
      </c>
      <c r="E50" s="491" t="s">
        <v>3137</v>
      </c>
      <c r="F50" s="490" t="s">
        <v>3133</v>
      </c>
      <c r="G50" s="323">
        <v>500</v>
      </c>
      <c r="H50" s="324">
        <v>0.009555</v>
      </c>
      <c r="I50" s="325">
        <f t="shared" si="58"/>
        <v>52328.6237571952</v>
      </c>
      <c r="J50" s="375">
        <v>17.6</v>
      </c>
      <c r="K50" s="501" t="s">
        <v>3067</v>
      </c>
      <c r="L50" s="377">
        <f t="shared" si="59"/>
        <v>1122281.9733458</v>
      </c>
      <c r="M50" s="377">
        <f t="shared" si="60"/>
        <v>1103918.91213809</v>
      </c>
      <c r="N50" s="339"/>
      <c r="O50" s="378">
        <f t="shared" si="4"/>
        <v>493.0498755</v>
      </c>
      <c r="P50" s="379">
        <v>500</v>
      </c>
      <c r="Q50" s="379"/>
      <c r="R50" s="379"/>
      <c r="S50" s="379"/>
      <c r="T50" s="379">
        <v>500</v>
      </c>
      <c r="U50" s="379"/>
      <c r="V50" s="379">
        <v>500</v>
      </c>
      <c r="W50" s="379">
        <v>0</v>
      </c>
      <c r="X50" s="398">
        <f t="shared" si="48"/>
        <v>8800</v>
      </c>
      <c r="Y50" s="379"/>
      <c r="Z50" s="402"/>
      <c r="AA50" s="402"/>
      <c r="AB50" s="511">
        <f t="shared" si="6"/>
        <v>0</v>
      </c>
      <c r="AC50" s="403">
        <f t="shared" si="7"/>
        <v>1500</v>
      </c>
      <c r="AD50" s="404">
        <f t="shared" si="61"/>
        <v>156985.871271586</v>
      </c>
      <c r="AE50" s="377">
        <f t="shared" si="9"/>
        <v>143073.892857143</v>
      </c>
      <c r="AF50" s="426">
        <f t="shared" si="51"/>
        <v>1367.07104625</v>
      </c>
      <c r="AG50" s="427">
        <f>AC50-AF50-AH50+AP50</f>
        <v>139.92895375</v>
      </c>
      <c r="AH50" s="517">
        <f>[2]S2新Ratio布料!AB59*AA50</f>
        <v>0</v>
      </c>
      <c r="AI50" s="428"/>
      <c r="AJ50" s="428"/>
      <c r="AK50" s="428"/>
      <c r="AL50" s="429"/>
      <c r="AM50" s="429"/>
      <c r="AN50" s="429"/>
      <c r="AO50" s="428">
        <f t="shared" si="62"/>
        <v>308940.436800643</v>
      </c>
      <c r="AP50" s="520">
        <v>7</v>
      </c>
    </row>
    <row r="51" ht="53.75" customHeight="1" spans="1:41">
      <c r="A51" s="318"/>
      <c r="B51" s="339"/>
      <c r="C51" s="320">
        <v>0.0466269841269841</v>
      </c>
      <c r="D51" s="320">
        <v>0.0474025974025974</v>
      </c>
      <c r="E51" s="491" t="s">
        <v>3102</v>
      </c>
      <c r="F51" s="490" t="s">
        <v>3134</v>
      </c>
      <c r="G51" s="323">
        <f>1300+700</f>
        <v>2000</v>
      </c>
      <c r="H51" s="324">
        <v>0.00315</v>
      </c>
      <c r="I51" s="325">
        <f t="shared" si="58"/>
        <v>634920.634920635</v>
      </c>
      <c r="J51" s="375">
        <v>13.56</v>
      </c>
      <c r="K51" s="501" t="s">
        <v>3067</v>
      </c>
      <c r="L51" s="377">
        <f t="shared" si="59"/>
        <v>13617021.2765958</v>
      </c>
      <c r="M51" s="377">
        <f t="shared" si="60"/>
        <v>13394216.1339422</v>
      </c>
      <c r="N51" s="502" t="s">
        <v>3104</v>
      </c>
      <c r="O51" s="378">
        <f t="shared" si="4"/>
        <v>162.543915</v>
      </c>
      <c r="P51" s="379"/>
      <c r="Q51" s="379"/>
      <c r="R51" s="379">
        <v>274</v>
      </c>
      <c r="S51" s="379"/>
      <c r="T51" s="379"/>
      <c r="U51" s="379"/>
      <c r="V51" s="379">
        <v>0</v>
      </c>
      <c r="W51" s="379">
        <v>300</v>
      </c>
      <c r="X51" s="398">
        <f t="shared" si="48"/>
        <v>3715.44</v>
      </c>
      <c r="Y51" s="379">
        <v>802</v>
      </c>
      <c r="Z51" s="402">
        <f>H51/(H24+H29+H34+H39+H43+H47+H51+H55)</f>
        <v>0.136986301369863</v>
      </c>
      <c r="AA51" s="402"/>
      <c r="AB51" s="511">
        <f t="shared" si="6"/>
        <v>109.86301369863</v>
      </c>
      <c r="AC51" s="403">
        <f t="shared" si="7"/>
        <v>683.86301369863</v>
      </c>
      <c r="AD51" s="404">
        <f t="shared" si="61"/>
        <v>217099.369428137</v>
      </c>
      <c r="AE51" s="377">
        <f t="shared" si="9"/>
        <v>143073.892857143</v>
      </c>
      <c r="AF51" s="426">
        <f t="shared" si="51"/>
        <v>450.6827625</v>
      </c>
      <c r="AG51" s="427">
        <f t="shared" ref="AG51:AG53" si="63">AC51-AF51-AH51</f>
        <v>212.208785445205</v>
      </c>
      <c r="AH51" s="517">
        <f>([2]S2新Ratio布料!AB5+[2]S2新Ratio布料!AB9+[2]S2新Ratio布料!AB13+[2]S2新Ratio布料!AB17+[2]S2新Ratio布料!AB21+[2]S2新Ratio布料!AB26+[2]S2新Ratio布料!AB34+[2]S2新Ratio布料!AB53+[2]S2新Ratio布料!AB56+[2]S2新Ratio布料!AB71+[2]S2新Ratio布料!AB74)*Z51</f>
        <v>20.9714657534247</v>
      </c>
      <c r="AI51" s="428"/>
      <c r="AJ51" s="428"/>
      <c r="AK51" s="428"/>
      <c r="AL51" s="429"/>
      <c r="AM51" s="429"/>
      <c r="AN51" s="429"/>
      <c r="AO51" s="428">
        <f t="shared" si="62"/>
        <v>1421185.16888722</v>
      </c>
    </row>
    <row r="52" customHeight="1" spans="1:41">
      <c r="A52" s="328"/>
      <c r="B52" s="337"/>
      <c r="C52" s="330">
        <v>0.0466269841269841</v>
      </c>
      <c r="D52" s="330">
        <v>0.0474025974025974</v>
      </c>
      <c r="E52" s="355" t="s">
        <v>3074</v>
      </c>
      <c r="F52" s="492"/>
      <c r="G52" s="333"/>
      <c r="H52" s="334">
        <v>1</v>
      </c>
      <c r="I52" s="353"/>
      <c r="J52" s="380">
        <v>1.62</v>
      </c>
      <c r="K52" s="503" t="s">
        <v>3067</v>
      </c>
      <c r="L52" s="382"/>
      <c r="M52" s="382"/>
      <c r="N52" s="337"/>
      <c r="O52" s="383">
        <f t="shared" si="4"/>
        <v>51601.2428571428</v>
      </c>
      <c r="P52" s="384">
        <v>19827.1396103896</v>
      </c>
      <c r="Q52" s="384"/>
      <c r="R52" s="384">
        <f>400000*D52</f>
        <v>18961.038961039</v>
      </c>
      <c r="S52" s="384">
        <f>300000*$D$52</f>
        <v>14220.7792207792</v>
      </c>
      <c r="T52" s="384">
        <f>500000*$D$52</f>
        <v>23701.2987012987</v>
      </c>
      <c r="U52" s="384">
        <f>400000*$D$52</f>
        <v>18961.038961039</v>
      </c>
      <c r="V52" s="384">
        <v>23701.2987012987</v>
      </c>
      <c r="W52" s="384">
        <v>23702</v>
      </c>
      <c r="X52" s="405">
        <f t="shared" si="48"/>
        <v>85874.5116233766</v>
      </c>
      <c r="Y52" s="384"/>
      <c r="Z52" s="406"/>
      <c r="AA52" s="406"/>
      <c r="AB52" s="513">
        <f t="shared" si="6"/>
        <v>0</v>
      </c>
      <c r="AC52" s="407">
        <f t="shared" si="7"/>
        <v>143074.594155844</v>
      </c>
      <c r="AD52" s="408"/>
      <c r="AE52" s="382">
        <f t="shared" si="9"/>
        <v>143073.892857143</v>
      </c>
      <c r="AF52" s="430">
        <f t="shared" si="51"/>
        <v>143073.892857143</v>
      </c>
      <c r="AG52" s="431">
        <f t="shared" si="63"/>
        <v>0.70129870128585</v>
      </c>
      <c r="AH52" s="517">
        <f>[2]S2新Ratio布料!AB61*AA52</f>
        <v>0</v>
      </c>
      <c r="AI52" s="432"/>
      <c r="AJ52" s="432"/>
      <c r="AK52" s="432"/>
      <c r="AL52" s="433"/>
      <c r="AM52" s="433"/>
      <c r="AN52" s="433"/>
      <c r="AO52" s="432"/>
    </row>
    <row r="53" customHeight="1" spans="1:41">
      <c r="A53" s="310"/>
      <c r="B53" s="372" t="s">
        <v>3138</v>
      </c>
      <c r="C53" s="312">
        <v>0.0466269841269841</v>
      </c>
      <c r="D53" s="312">
        <v>0.0474025974025974</v>
      </c>
      <c r="E53" s="486" t="s">
        <v>3139</v>
      </c>
      <c r="F53" s="487" t="s">
        <v>3131</v>
      </c>
      <c r="G53" s="488">
        <f>2500-500</f>
        <v>2000</v>
      </c>
      <c r="H53" s="316">
        <v>0.007245</v>
      </c>
      <c r="I53" s="317">
        <f t="shared" ref="I53:I55" si="64">G53/H53</f>
        <v>276052.449965493</v>
      </c>
      <c r="J53" s="369">
        <v>25.3</v>
      </c>
      <c r="K53" s="500" t="s">
        <v>3067</v>
      </c>
      <c r="L53" s="371">
        <f t="shared" ref="L53:L55" si="65">G53/C53/H53</f>
        <v>5920444.0333025</v>
      </c>
      <c r="M53" s="371">
        <f t="shared" ref="M53:M55" si="66">G53/H53/D53</f>
        <v>5823572.23214877</v>
      </c>
      <c r="N53" s="372"/>
      <c r="O53" s="373">
        <f t="shared" si="4"/>
        <v>373.8510045</v>
      </c>
      <c r="P53" s="374">
        <v>2000</v>
      </c>
      <c r="Q53" s="374"/>
      <c r="R53" s="374"/>
      <c r="S53" s="374"/>
      <c r="T53" s="374"/>
      <c r="U53" s="374"/>
      <c r="V53" s="374">
        <v>0</v>
      </c>
      <c r="W53" s="374">
        <v>0</v>
      </c>
      <c r="X53" s="398">
        <f t="shared" si="48"/>
        <v>50600</v>
      </c>
      <c r="Y53" s="374"/>
      <c r="Z53" s="399"/>
      <c r="AA53" s="399"/>
      <c r="AB53" s="509">
        <f t="shared" si="6"/>
        <v>0</v>
      </c>
      <c r="AC53" s="400">
        <f t="shared" si="7"/>
        <v>2000</v>
      </c>
      <c r="AD53" s="401">
        <f t="shared" ref="AD53:AD55" si="67">AC53/H53</f>
        <v>276052.449965493</v>
      </c>
      <c r="AE53" s="377">
        <f t="shared" si="9"/>
        <v>143073.892857143</v>
      </c>
      <c r="AF53" s="422">
        <f t="shared" si="51"/>
        <v>1036.57035375</v>
      </c>
      <c r="AG53" s="423">
        <f t="shared" si="63"/>
        <v>963.42964625</v>
      </c>
      <c r="AH53" s="516">
        <f>[2]S2新Ratio布料!AB62*AA53</f>
        <v>0</v>
      </c>
      <c r="AI53" s="424">
        <f>$AI$4*C53</f>
        <v>4926.60714285714</v>
      </c>
      <c r="AJ53" s="424">
        <f>$AJ$4*D53</f>
        <v>138147.285714286</v>
      </c>
      <c r="AK53" s="424"/>
      <c r="AL53" s="425"/>
      <c r="AM53" s="425"/>
      <c r="AN53" s="425"/>
      <c r="AO53" s="424">
        <f t="shared" ref="AO53:AO55" si="68">AG53/H53/D53</f>
        <v>2805301.06776521</v>
      </c>
    </row>
    <row r="54" customHeight="1" spans="1:42">
      <c r="A54" s="318"/>
      <c r="B54" s="339"/>
      <c r="C54" s="320">
        <v>0.0466269841269841</v>
      </c>
      <c r="D54" s="320">
        <v>0.0474025974025974</v>
      </c>
      <c r="E54" s="491" t="s">
        <v>3140</v>
      </c>
      <c r="F54" s="490" t="s">
        <v>3133</v>
      </c>
      <c r="G54" s="323">
        <v>500</v>
      </c>
      <c r="H54" s="324">
        <v>0.009555</v>
      </c>
      <c r="I54" s="325">
        <f t="shared" si="64"/>
        <v>52328.6237571952</v>
      </c>
      <c r="J54" s="375">
        <v>17.6</v>
      </c>
      <c r="K54" s="501" t="s">
        <v>3067</v>
      </c>
      <c r="L54" s="377">
        <f t="shared" si="65"/>
        <v>1122281.9733458</v>
      </c>
      <c r="M54" s="377">
        <f t="shared" si="66"/>
        <v>1103918.91213809</v>
      </c>
      <c r="N54" s="339"/>
      <c r="O54" s="378">
        <f t="shared" si="4"/>
        <v>493.0498755</v>
      </c>
      <c r="P54" s="379">
        <v>500</v>
      </c>
      <c r="Q54" s="379"/>
      <c r="R54" s="379"/>
      <c r="S54" s="379"/>
      <c r="T54" s="379">
        <v>500</v>
      </c>
      <c r="U54" s="379"/>
      <c r="V54" s="379">
        <v>500</v>
      </c>
      <c r="W54" s="379">
        <v>0</v>
      </c>
      <c r="X54" s="398">
        <f t="shared" si="48"/>
        <v>8800</v>
      </c>
      <c r="Y54" s="379"/>
      <c r="Z54" s="463"/>
      <c r="AA54" s="463"/>
      <c r="AB54" s="511">
        <f t="shared" si="6"/>
        <v>0</v>
      </c>
      <c r="AC54" s="403">
        <f t="shared" si="7"/>
        <v>1500</v>
      </c>
      <c r="AD54" s="404">
        <f t="shared" si="67"/>
        <v>156985.871271586</v>
      </c>
      <c r="AE54" s="377">
        <f t="shared" si="9"/>
        <v>143073.892857143</v>
      </c>
      <c r="AF54" s="426">
        <f t="shared" si="51"/>
        <v>1367.07104625</v>
      </c>
      <c r="AG54" s="427">
        <f>AC54-AF54-AH54+AP54</f>
        <v>139.92895375</v>
      </c>
      <c r="AH54" s="517">
        <f>[2]S2新Ratio布料!AB63*AA54</f>
        <v>0</v>
      </c>
      <c r="AI54" s="428"/>
      <c r="AJ54" s="428"/>
      <c r="AK54" s="428"/>
      <c r="AL54" s="429"/>
      <c r="AM54" s="429"/>
      <c r="AN54" s="429"/>
      <c r="AO54" s="428">
        <f t="shared" si="68"/>
        <v>308940.436800643</v>
      </c>
      <c r="AP54" s="520">
        <v>7</v>
      </c>
    </row>
    <row r="55" ht="50.75" customHeight="1" spans="1:41">
      <c r="A55" s="318"/>
      <c r="B55" s="339"/>
      <c r="C55" s="320">
        <v>0.0466269841269841</v>
      </c>
      <c r="D55" s="320">
        <v>0.0474025974025974</v>
      </c>
      <c r="E55" s="491" t="s">
        <v>3102</v>
      </c>
      <c r="F55" s="490" t="s">
        <v>3134</v>
      </c>
      <c r="G55" s="323">
        <f>1300+700</f>
        <v>2000</v>
      </c>
      <c r="H55" s="324">
        <v>0.00315</v>
      </c>
      <c r="I55" s="325">
        <f t="shared" si="64"/>
        <v>634920.634920635</v>
      </c>
      <c r="J55" s="375">
        <v>13.56</v>
      </c>
      <c r="K55" s="501" t="s">
        <v>3067</v>
      </c>
      <c r="L55" s="377">
        <f t="shared" si="65"/>
        <v>13617021.2765958</v>
      </c>
      <c r="M55" s="377">
        <f t="shared" si="66"/>
        <v>13394216.1339422</v>
      </c>
      <c r="N55" s="502" t="s">
        <v>3104</v>
      </c>
      <c r="O55" s="378">
        <f t="shared" si="4"/>
        <v>162.543915</v>
      </c>
      <c r="P55" s="379"/>
      <c r="Q55" s="379"/>
      <c r="R55" s="379">
        <v>274</v>
      </c>
      <c r="S55" s="379"/>
      <c r="T55" s="379"/>
      <c r="U55" s="379"/>
      <c r="V55" s="379">
        <v>0</v>
      </c>
      <c r="W55" s="379">
        <v>300</v>
      </c>
      <c r="X55" s="398">
        <f t="shared" si="48"/>
        <v>3715.44</v>
      </c>
      <c r="Y55" s="379">
        <v>802</v>
      </c>
      <c r="Z55" s="402">
        <f>H55/(H24+H29+H34+H39+H43+H47+H51+H55)</f>
        <v>0.136986301369863</v>
      </c>
      <c r="AA55" s="402"/>
      <c r="AB55" s="511">
        <f t="shared" si="6"/>
        <v>109.86301369863</v>
      </c>
      <c r="AC55" s="403">
        <f t="shared" si="7"/>
        <v>683.86301369863</v>
      </c>
      <c r="AD55" s="404">
        <f t="shared" si="67"/>
        <v>217099.369428137</v>
      </c>
      <c r="AE55" s="377">
        <f t="shared" si="9"/>
        <v>143073.892857143</v>
      </c>
      <c r="AF55" s="426">
        <f t="shared" si="51"/>
        <v>450.6827625</v>
      </c>
      <c r="AG55" s="427">
        <f t="shared" ref="AG55:AG104" si="69">AC55-AF55-AH55</f>
        <v>212.208785445205</v>
      </c>
      <c r="AH55" s="517">
        <f>([2]S2新Ratio布料!AB5+[2]S2新Ratio布料!AB9+[2]S2新Ratio布料!AB13+[2]S2新Ratio布料!AB17+[2]S2新Ratio布料!AB21+[2]S2新Ratio布料!AB26+[2]S2新Ratio布料!AB34+[2]S2新Ratio布料!AB53+[2]S2新Ratio布料!AB56+[2]S2新Ratio布料!AB71+[2]S2新Ratio布料!AB74)*Z55</f>
        <v>20.9714657534247</v>
      </c>
      <c r="AI55" s="428"/>
      <c r="AJ55" s="428"/>
      <c r="AK55" s="428"/>
      <c r="AL55" s="429"/>
      <c r="AM55" s="429"/>
      <c r="AN55" s="429"/>
      <c r="AO55" s="428">
        <f t="shared" si="68"/>
        <v>1421185.16888722</v>
      </c>
    </row>
    <row r="56" customHeight="1" spans="1:41">
      <c r="A56" s="328"/>
      <c r="B56" s="337"/>
      <c r="C56" s="330">
        <v>0.0466269841269841</v>
      </c>
      <c r="D56" s="330">
        <v>0.0474025974025974</v>
      </c>
      <c r="E56" s="355" t="s">
        <v>3074</v>
      </c>
      <c r="F56" s="492"/>
      <c r="G56" s="357"/>
      <c r="H56" s="334">
        <v>1</v>
      </c>
      <c r="I56" s="353"/>
      <c r="J56" s="380">
        <v>1.62</v>
      </c>
      <c r="K56" s="503" t="s">
        <v>3067</v>
      </c>
      <c r="L56" s="382"/>
      <c r="M56" s="382"/>
      <c r="N56" s="392"/>
      <c r="O56" s="383">
        <f t="shared" si="4"/>
        <v>51601.2428571428</v>
      </c>
      <c r="P56" s="384">
        <v>19827.1396103896</v>
      </c>
      <c r="Q56" s="384"/>
      <c r="R56" s="384">
        <f>400000*D56</f>
        <v>18961.038961039</v>
      </c>
      <c r="S56" s="384">
        <f>300000*$D$56</f>
        <v>14220.7792207792</v>
      </c>
      <c r="T56" s="384">
        <f>500000*$D$56</f>
        <v>23701.2987012987</v>
      </c>
      <c r="U56" s="384">
        <f>400000*$D$56</f>
        <v>18961.038961039</v>
      </c>
      <c r="V56" s="384">
        <v>23701.2987012987</v>
      </c>
      <c r="W56" s="384">
        <v>23702</v>
      </c>
      <c r="X56" s="405">
        <f t="shared" si="48"/>
        <v>85874.5116233766</v>
      </c>
      <c r="Y56" s="384"/>
      <c r="Z56" s="406"/>
      <c r="AA56" s="406"/>
      <c r="AB56" s="513">
        <f t="shared" si="6"/>
        <v>0</v>
      </c>
      <c r="AC56" s="407">
        <f t="shared" si="7"/>
        <v>143074.594155844</v>
      </c>
      <c r="AD56" s="408"/>
      <c r="AE56" s="382">
        <f t="shared" si="9"/>
        <v>143073.892857143</v>
      </c>
      <c r="AF56" s="430">
        <f t="shared" si="51"/>
        <v>143073.892857143</v>
      </c>
      <c r="AG56" s="431">
        <f t="shared" si="69"/>
        <v>0.70129870128585</v>
      </c>
      <c r="AH56" s="517">
        <f>[2]S2新Ratio布料!AB65*AA56</f>
        <v>0</v>
      </c>
      <c r="AI56" s="432"/>
      <c r="AJ56" s="432"/>
      <c r="AK56" s="432"/>
      <c r="AL56" s="433"/>
      <c r="AM56" s="433"/>
      <c r="AN56" s="433"/>
      <c r="AO56" s="432"/>
    </row>
    <row r="57" ht="51.65" customHeight="1" spans="1:41">
      <c r="A57" s="310"/>
      <c r="B57" s="372" t="s">
        <v>3141</v>
      </c>
      <c r="C57" s="312">
        <v>0.0466269841269841</v>
      </c>
      <c r="D57" s="312">
        <v>0.0474025974025974</v>
      </c>
      <c r="E57" s="486" t="s">
        <v>3142</v>
      </c>
      <c r="F57" s="487" t="s">
        <v>3143</v>
      </c>
      <c r="G57" s="488">
        <f>500-100</f>
        <v>400</v>
      </c>
      <c r="H57" s="316">
        <v>0.001176</v>
      </c>
      <c r="I57" s="317">
        <f t="shared" ref="I57:I59" si="70">G57/H57</f>
        <v>340136.054421769</v>
      </c>
      <c r="J57" s="369">
        <v>19.25</v>
      </c>
      <c r="K57" s="500" t="s">
        <v>3067</v>
      </c>
      <c r="L57" s="371">
        <f t="shared" ref="L57:L59" si="71">G57/C57/H57</f>
        <v>7294832.82674772</v>
      </c>
      <c r="M57" s="371">
        <f t="shared" ref="M57:M59" si="72">G57/H57/D57</f>
        <v>7175472.92889759</v>
      </c>
      <c r="N57" s="393"/>
      <c r="O57" s="373">
        <f t="shared" si="4"/>
        <v>60.6830616</v>
      </c>
      <c r="P57" s="374">
        <v>400</v>
      </c>
      <c r="Q57" s="374"/>
      <c r="R57" s="374"/>
      <c r="S57" s="374"/>
      <c r="T57" s="374"/>
      <c r="U57" s="374"/>
      <c r="V57" s="374">
        <v>0</v>
      </c>
      <c r="W57" s="374">
        <v>0</v>
      </c>
      <c r="X57" s="398">
        <f t="shared" si="48"/>
        <v>7700</v>
      </c>
      <c r="Y57" s="374"/>
      <c r="Z57" s="399"/>
      <c r="AA57" s="399"/>
      <c r="AB57" s="509">
        <f t="shared" si="6"/>
        <v>0</v>
      </c>
      <c r="AC57" s="400">
        <f t="shared" si="7"/>
        <v>400</v>
      </c>
      <c r="AD57" s="401">
        <f t="shared" ref="AD57:AD59" si="73">AC57/H57</f>
        <v>340136.054421769</v>
      </c>
      <c r="AE57" s="377">
        <f t="shared" si="9"/>
        <v>143073.892857143</v>
      </c>
      <c r="AF57" s="422">
        <f t="shared" si="51"/>
        <v>168.254898</v>
      </c>
      <c r="AG57" s="423">
        <f t="shared" si="69"/>
        <v>231.745102</v>
      </c>
      <c r="AH57" s="516">
        <f>[2]S2新Ratio布料!AB66*AA57</f>
        <v>0</v>
      </c>
      <c r="AI57" s="424">
        <f>$AI$4*C57</f>
        <v>4926.60714285714</v>
      </c>
      <c r="AJ57" s="424">
        <f>$AJ$4*D57</f>
        <v>138147.285714286</v>
      </c>
      <c r="AK57" s="424"/>
      <c r="AL57" s="425"/>
      <c r="AM57" s="425"/>
      <c r="AN57" s="425"/>
      <c r="AO57" s="424">
        <f t="shared" ref="AO57:AO59" si="74">AG57/H57/D57</f>
        <v>4157201.76451403</v>
      </c>
    </row>
    <row r="58" customHeight="1" spans="1:41">
      <c r="A58" s="318"/>
      <c r="B58" s="339"/>
      <c r="C58" s="320">
        <v>0.0466269841269841</v>
      </c>
      <c r="D58" s="320">
        <v>0.0474025974025974</v>
      </c>
      <c r="E58" s="339" t="s">
        <v>3144</v>
      </c>
      <c r="F58" s="490" t="s">
        <v>3145</v>
      </c>
      <c r="G58" s="323">
        <v>2500</v>
      </c>
      <c r="H58" s="324">
        <v>0.003465</v>
      </c>
      <c r="I58" s="325">
        <f t="shared" si="70"/>
        <v>721500.721500721</v>
      </c>
      <c r="J58" s="375">
        <v>25.3</v>
      </c>
      <c r="K58" s="501" t="s">
        <v>3067</v>
      </c>
      <c r="L58" s="377">
        <f t="shared" si="71"/>
        <v>15473887.8143134</v>
      </c>
      <c r="M58" s="377">
        <f t="shared" si="72"/>
        <v>15220700.152207</v>
      </c>
      <c r="N58" s="505" t="s">
        <v>3146</v>
      </c>
      <c r="O58" s="378">
        <f t="shared" si="4"/>
        <v>178.7983065</v>
      </c>
      <c r="P58" s="379">
        <v>0</v>
      </c>
      <c r="Q58" s="379"/>
      <c r="R58" s="379"/>
      <c r="S58" s="379"/>
      <c r="T58" s="379">
        <f>2500-1500</f>
        <v>1000</v>
      </c>
      <c r="U58" s="379"/>
      <c r="V58" s="379">
        <v>0</v>
      </c>
      <c r="W58" s="379">
        <v>0</v>
      </c>
      <c r="X58" s="398">
        <f t="shared" si="48"/>
        <v>0</v>
      </c>
      <c r="Y58" s="379">
        <v>1002</v>
      </c>
      <c r="Z58" s="402">
        <f>H58/(H58+H67)</f>
        <v>0.266129032258065</v>
      </c>
      <c r="AA58" s="402"/>
      <c r="AB58" s="511">
        <f t="shared" si="6"/>
        <v>266.661290322581</v>
      </c>
      <c r="AC58" s="403">
        <f t="shared" si="7"/>
        <v>1266.66129032258</v>
      </c>
      <c r="AD58" s="404">
        <f t="shared" si="73"/>
        <v>365558.813945911</v>
      </c>
      <c r="AE58" s="377">
        <f t="shared" si="9"/>
        <v>143073.892857143</v>
      </c>
      <c r="AF58" s="426">
        <f t="shared" si="51"/>
        <v>495.75103875</v>
      </c>
      <c r="AG58" s="427">
        <f t="shared" si="69"/>
        <v>753.641138669355</v>
      </c>
      <c r="AH58" s="517">
        <f>[2]S2新Ratio布料!AB65*Z58</f>
        <v>17.2691129032258</v>
      </c>
      <c r="AI58" s="428"/>
      <c r="AJ58" s="428"/>
      <c r="AK58" s="428"/>
      <c r="AL58" s="429"/>
      <c r="AM58" s="429"/>
      <c r="AN58" s="429"/>
      <c r="AO58" s="428">
        <f t="shared" si="74"/>
        <v>4588378.31762164</v>
      </c>
    </row>
    <row r="59" customHeight="1" spans="1:41">
      <c r="A59" s="318"/>
      <c r="B59" s="339"/>
      <c r="C59" s="320">
        <v>0.0466269841269841</v>
      </c>
      <c r="D59" s="320">
        <v>0.0474025974025974</v>
      </c>
      <c r="E59" s="491" t="s">
        <v>3147</v>
      </c>
      <c r="F59" s="490" t="s">
        <v>3145</v>
      </c>
      <c r="G59" s="327">
        <v>1000</v>
      </c>
      <c r="H59" s="324">
        <v>0.003465</v>
      </c>
      <c r="I59" s="325">
        <f t="shared" si="70"/>
        <v>288600.288600289</v>
      </c>
      <c r="J59" s="375">
        <v>16.72</v>
      </c>
      <c r="K59" s="501" t="s">
        <v>3067</v>
      </c>
      <c r="L59" s="377">
        <f t="shared" si="71"/>
        <v>6189555.12572534</v>
      </c>
      <c r="M59" s="377">
        <f t="shared" si="72"/>
        <v>6088280.0608828</v>
      </c>
      <c r="N59" s="502" t="s">
        <v>3148</v>
      </c>
      <c r="O59" s="378">
        <f t="shared" si="4"/>
        <v>178.7983065</v>
      </c>
      <c r="P59" s="379">
        <v>343.75</v>
      </c>
      <c r="Q59" s="379"/>
      <c r="R59" s="379"/>
      <c r="S59" s="379"/>
      <c r="T59" s="379"/>
      <c r="U59" s="379"/>
      <c r="V59" s="379">
        <v>350</v>
      </c>
      <c r="W59" s="379">
        <v>0</v>
      </c>
      <c r="X59" s="398">
        <f t="shared" si="48"/>
        <v>5747.5</v>
      </c>
      <c r="Y59" s="379">
        <v>53</v>
      </c>
      <c r="Z59" s="402">
        <f>H59/(H59+H66)</f>
        <v>0.34375</v>
      </c>
      <c r="AA59" s="402"/>
      <c r="AB59" s="511">
        <f t="shared" si="6"/>
        <v>18.21875</v>
      </c>
      <c r="AC59" s="403">
        <f t="shared" si="7"/>
        <v>711.96875</v>
      </c>
      <c r="AD59" s="404">
        <f t="shared" si="73"/>
        <v>205474.386724387</v>
      </c>
      <c r="AE59" s="377">
        <f t="shared" si="9"/>
        <v>143073.892857143</v>
      </c>
      <c r="AF59" s="426">
        <f t="shared" si="51"/>
        <v>495.75103875</v>
      </c>
      <c r="AG59" s="427">
        <f t="shared" si="69"/>
        <v>216.21771125</v>
      </c>
      <c r="AH59" s="517">
        <f>[2]S2新Ratio布料!AB68*AA59</f>
        <v>0</v>
      </c>
      <c r="AI59" s="428"/>
      <c r="AJ59" s="428"/>
      <c r="AK59" s="428"/>
      <c r="AL59" s="429"/>
      <c r="AM59" s="429"/>
      <c r="AN59" s="429"/>
      <c r="AO59" s="428">
        <f t="shared" si="74"/>
        <v>1316393.98021309</v>
      </c>
    </row>
    <row r="60" customHeight="1" spans="1:41">
      <c r="A60" s="328"/>
      <c r="B60" s="337"/>
      <c r="C60" s="330">
        <v>0.0466269841269841</v>
      </c>
      <c r="D60" s="330">
        <v>0.0474025974025974</v>
      </c>
      <c r="E60" s="355" t="s">
        <v>3074</v>
      </c>
      <c r="F60" s="337"/>
      <c r="G60" s="333"/>
      <c r="H60" s="334">
        <v>1</v>
      </c>
      <c r="I60" s="353"/>
      <c r="J60" s="380">
        <v>0.53</v>
      </c>
      <c r="K60" s="503" t="s">
        <v>3067</v>
      </c>
      <c r="L60" s="382"/>
      <c r="M60" s="382"/>
      <c r="N60" s="392"/>
      <c r="O60" s="383">
        <f t="shared" si="4"/>
        <v>51601.2428571428</v>
      </c>
      <c r="P60" s="384">
        <v>19827.1396103896</v>
      </c>
      <c r="Q60" s="384"/>
      <c r="R60" s="384">
        <f>400000*D60</f>
        <v>18961.038961039</v>
      </c>
      <c r="S60" s="384">
        <f>300000*$D$60</f>
        <v>14220.7792207792</v>
      </c>
      <c r="T60" s="384">
        <f>500000*$D$60</f>
        <v>23701.2987012987</v>
      </c>
      <c r="U60" s="384">
        <f>400000*$D$60</f>
        <v>18961.038961039</v>
      </c>
      <c r="V60" s="384">
        <v>23701.2987012987</v>
      </c>
      <c r="W60" s="384">
        <v>23702</v>
      </c>
      <c r="X60" s="405">
        <f t="shared" si="48"/>
        <v>28094.7476298701</v>
      </c>
      <c r="Y60" s="384"/>
      <c r="Z60" s="406"/>
      <c r="AA60" s="406"/>
      <c r="AB60" s="513">
        <f t="shared" si="6"/>
        <v>0</v>
      </c>
      <c r="AC60" s="407">
        <f t="shared" si="7"/>
        <v>143074.594155844</v>
      </c>
      <c r="AD60" s="408"/>
      <c r="AE60" s="382">
        <f t="shared" si="9"/>
        <v>143073.892857143</v>
      </c>
      <c r="AF60" s="430">
        <f t="shared" si="51"/>
        <v>143073.892857143</v>
      </c>
      <c r="AG60" s="431">
        <f t="shared" si="69"/>
        <v>0.70129870128585</v>
      </c>
      <c r="AH60" s="517">
        <f>[2]S2新Ratio布料!AB69*AA60</f>
        <v>0</v>
      </c>
      <c r="AI60" s="432"/>
      <c r="AJ60" s="432"/>
      <c r="AK60" s="432"/>
      <c r="AL60" s="433"/>
      <c r="AM60" s="433"/>
      <c r="AN60" s="433"/>
      <c r="AO60" s="432"/>
    </row>
    <row r="61" customHeight="1" spans="1:41">
      <c r="A61" s="310"/>
      <c r="B61" s="372" t="s">
        <v>3149</v>
      </c>
      <c r="C61" s="312">
        <v>0.0466269841269841</v>
      </c>
      <c r="D61" s="312">
        <v>0.0474025974025974</v>
      </c>
      <c r="E61" s="486" t="s">
        <v>3150</v>
      </c>
      <c r="F61" s="487" t="s">
        <v>3143</v>
      </c>
      <c r="G61" s="488">
        <f>500-100</f>
        <v>400</v>
      </c>
      <c r="H61" s="316">
        <v>0.001176</v>
      </c>
      <c r="I61" s="317">
        <f t="shared" ref="I61:I63" si="75">G61/H61</f>
        <v>340136.054421769</v>
      </c>
      <c r="J61" s="369">
        <v>19.25</v>
      </c>
      <c r="K61" s="500" t="s">
        <v>3067</v>
      </c>
      <c r="L61" s="371">
        <f t="shared" ref="L61:L63" si="76">G61/C61/H61</f>
        <v>7294832.82674772</v>
      </c>
      <c r="M61" s="371">
        <f t="shared" ref="M61:M63" si="77">G61/H61/D61</f>
        <v>7175472.92889759</v>
      </c>
      <c r="N61" s="393"/>
      <c r="O61" s="373">
        <f t="shared" si="4"/>
        <v>60.6830616</v>
      </c>
      <c r="P61" s="374">
        <v>400</v>
      </c>
      <c r="Q61" s="374"/>
      <c r="R61" s="374"/>
      <c r="S61" s="374"/>
      <c r="T61" s="374"/>
      <c r="U61" s="374"/>
      <c r="V61" s="374">
        <v>0</v>
      </c>
      <c r="W61" s="374">
        <v>0</v>
      </c>
      <c r="X61" s="398">
        <f t="shared" si="48"/>
        <v>7700</v>
      </c>
      <c r="Y61" s="374"/>
      <c r="Z61" s="399"/>
      <c r="AA61" s="399"/>
      <c r="AB61" s="509">
        <f t="shared" si="6"/>
        <v>0</v>
      </c>
      <c r="AC61" s="400">
        <f t="shared" si="7"/>
        <v>400</v>
      </c>
      <c r="AD61" s="401">
        <f t="shared" ref="AD61:AD63" si="78">AC61/H61</f>
        <v>340136.054421769</v>
      </c>
      <c r="AE61" s="377">
        <f t="shared" si="9"/>
        <v>143073.892857143</v>
      </c>
      <c r="AF61" s="422">
        <f t="shared" si="51"/>
        <v>168.254898</v>
      </c>
      <c r="AG61" s="423">
        <f t="shared" si="69"/>
        <v>231.745102</v>
      </c>
      <c r="AH61" s="516">
        <f>[2]S2新Ratio布料!AB70*AA61</f>
        <v>0</v>
      </c>
      <c r="AI61" s="424">
        <f>$AI$4*C61</f>
        <v>4926.60714285714</v>
      </c>
      <c r="AJ61" s="424">
        <f>$AJ$4*D61</f>
        <v>138147.285714286</v>
      </c>
      <c r="AK61" s="424"/>
      <c r="AL61" s="425"/>
      <c r="AM61" s="425"/>
      <c r="AN61" s="425"/>
      <c r="AO61" s="424">
        <f t="shared" ref="AO61:AO63" si="79">AG61/H61/D61</f>
        <v>4157201.76451403</v>
      </c>
    </row>
    <row r="62" customHeight="1" spans="1:41">
      <c r="A62" s="318"/>
      <c r="B62" s="339"/>
      <c r="C62" s="320">
        <v>0.0466269841269841</v>
      </c>
      <c r="D62" s="320">
        <v>0.0474025974025974</v>
      </c>
      <c r="E62" s="491" t="s">
        <v>3090</v>
      </c>
      <c r="F62" s="490" t="s">
        <v>3145</v>
      </c>
      <c r="G62" s="323">
        <v>2500</v>
      </c>
      <c r="H62" s="324">
        <v>0.003465</v>
      </c>
      <c r="I62" s="325">
        <f t="shared" si="75"/>
        <v>721500.721500721</v>
      </c>
      <c r="J62" s="375">
        <v>25.3</v>
      </c>
      <c r="K62" s="501" t="s">
        <v>3067</v>
      </c>
      <c r="L62" s="377">
        <f t="shared" si="76"/>
        <v>15473887.8143134</v>
      </c>
      <c r="M62" s="377">
        <f t="shared" si="77"/>
        <v>15220700.152207</v>
      </c>
      <c r="N62" s="339" t="s">
        <v>3114</v>
      </c>
      <c r="O62" s="378">
        <f t="shared" si="4"/>
        <v>178.7983065</v>
      </c>
      <c r="P62" s="379">
        <v>233.71104815864</v>
      </c>
      <c r="Q62" s="379"/>
      <c r="R62" s="379"/>
      <c r="S62" s="379"/>
      <c r="T62" s="379">
        <v>300</v>
      </c>
      <c r="U62" s="379"/>
      <c r="V62" s="379">
        <v>500</v>
      </c>
      <c r="W62" s="379">
        <v>0</v>
      </c>
      <c r="X62" s="398">
        <f t="shared" si="48"/>
        <v>5912.88951841359</v>
      </c>
      <c r="Y62" s="379"/>
      <c r="Z62" s="402">
        <f>H62/(H16+H31+H62)</f>
        <v>0.0934844192634561</v>
      </c>
      <c r="AA62" s="402"/>
      <c r="AB62" s="511">
        <f t="shared" si="6"/>
        <v>0</v>
      </c>
      <c r="AC62" s="403">
        <f t="shared" si="7"/>
        <v>1033.71104815864</v>
      </c>
      <c r="AD62" s="404">
        <f t="shared" si="78"/>
        <v>298329.30682789</v>
      </c>
      <c r="AE62" s="377">
        <f t="shared" si="9"/>
        <v>143073.892857143</v>
      </c>
      <c r="AF62" s="426">
        <f t="shared" si="51"/>
        <v>495.75103875</v>
      </c>
      <c r="AG62" s="427">
        <f t="shared" si="69"/>
        <v>537.96000940864</v>
      </c>
      <c r="AH62" s="517">
        <f>[2]S2新Ratio布料!AB71*AA62</f>
        <v>0</v>
      </c>
      <c r="AI62" s="428"/>
      <c r="AJ62" s="428"/>
      <c r="AK62" s="428"/>
      <c r="AL62" s="429"/>
      <c r="AM62" s="429"/>
      <c r="AN62" s="429"/>
      <c r="AO62" s="428">
        <f t="shared" si="79"/>
        <v>3275251.19883495</v>
      </c>
    </row>
    <row r="63" customHeight="1" spans="1:41">
      <c r="A63" s="318"/>
      <c r="B63" s="339"/>
      <c r="C63" s="320">
        <v>0.0466269841269841</v>
      </c>
      <c r="D63" s="320">
        <v>0.0474025974025974</v>
      </c>
      <c r="E63" s="491" t="s">
        <v>3151</v>
      </c>
      <c r="F63" s="490" t="s">
        <v>3145</v>
      </c>
      <c r="G63" s="496">
        <f>1000-200</f>
        <v>800</v>
      </c>
      <c r="H63" s="324">
        <v>0.003465</v>
      </c>
      <c r="I63" s="325">
        <f t="shared" si="75"/>
        <v>230880.230880231</v>
      </c>
      <c r="J63" s="375">
        <v>16.72</v>
      </c>
      <c r="K63" s="501" t="s">
        <v>3067</v>
      </c>
      <c r="L63" s="377">
        <f t="shared" si="76"/>
        <v>4951644.10058027</v>
      </c>
      <c r="M63" s="377">
        <f t="shared" si="77"/>
        <v>4870624.04870624</v>
      </c>
      <c r="N63" s="391" t="s">
        <v>3117</v>
      </c>
      <c r="O63" s="378">
        <f t="shared" si="4"/>
        <v>178.7983065</v>
      </c>
      <c r="P63" s="379">
        <v>800</v>
      </c>
      <c r="Q63" s="379"/>
      <c r="R63" s="379"/>
      <c r="S63" s="379"/>
      <c r="T63" s="379"/>
      <c r="U63" s="379"/>
      <c r="V63" s="379">
        <v>0</v>
      </c>
      <c r="W63" s="379">
        <v>0</v>
      </c>
      <c r="X63" s="398">
        <f t="shared" si="48"/>
        <v>13376</v>
      </c>
      <c r="Y63" s="379"/>
      <c r="Z63" s="402"/>
      <c r="AA63" s="402"/>
      <c r="AB63" s="511">
        <f t="shared" si="6"/>
        <v>0</v>
      </c>
      <c r="AC63" s="403">
        <f t="shared" si="7"/>
        <v>800</v>
      </c>
      <c r="AD63" s="404">
        <f t="shared" si="78"/>
        <v>230880.230880231</v>
      </c>
      <c r="AE63" s="377">
        <f t="shared" si="9"/>
        <v>143073.892857143</v>
      </c>
      <c r="AF63" s="426">
        <f t="shared" si="51"/>
        <v>495.75103875</v>
      </c>
      <c r="AG63" s="427">
        <f t="shared" si="69"/>
        <v>304.24896125</v>
      </c>
      <c r="AH63" s="517">
        <f>[2]S2新Ratio布料!AB72*AA63</f>
        <v>0</v>
      </c>
      <c r="AI63" s="428"/>
      <c r="AJ63" s="428"/>
      <c r="AK63" s="428"/>
      <c r="AL63" s="429"/>
      <c r="AM63" s="429"/>
      <c r="AN63" s="429"/>
      <c r="AO63" s="428">
        <f t="shared" si="79"/>
        <v>1852352.88432268</v>
      </c>
    </row>
    <row r="64" customHeight="1" spans="1:41">
      <c r="A64" s="328"/>
      <c r="B64" s="337"/>
      <c r="C64" s="330">
        <v>0.0466269841269841</v>
      </c>
      <c r="D64" s="330">
        <v>0.0474025974025974</v>
      </c>
      <c r="E64" s="355" t="s">
        <v>3074</v>
      </c>
      <c r="F64" s="337"/>
      <c r="G64" s="333"/>
      <c r="H64" s="334">
        <v>1</v>
      </c>
      <c r="I64" s="353"/>
      <c r="J64" s="380">
        <v>0.53</v>
      </c>
      <c r="K64" s="503" t="s">
        <v>3067</v>
      </c>
      <c r="L64" s="382"/>
      <c r="M64" s="382"/>
      <c r="N64" s="392"/>
      <c r="O64" s="383">
        <f t="shared" si="4"/>
        <v>51601.2428571428</v>
      </c>
      <c r="P64" s="384">
        <v>19827.1396103896</v>
      </c>
      <c r="Q64" s="384"/>
      <c r="R64" s="384">
        <f>400000*D64</f>
        <v>18961.038961039</v>
      </c>
      <c r="S64" s="384">
        <f>300000*$D$64</f>
        <v>14220.7792207792</v>
      </c>
      <c r="T64" s="384">
        <f>500000*$D$64</f>
        <v>23701.2987012987</v>
      </c>
      <c r="U64" s="384">
        <f>400000*$D$64</f>
        <v>18961.038961039</v>
      </c>
      <c r="V64" s="384">
        <v>23701.2987012987</v>
      </c>
      <c r="W64" s="384">
        <v>23702</v>
      </c>
      <c r="X64" s="405">
        <f t="shared" si="48"/>
        <v>28094.7476298701</v>
      </c>
      <c r="Y64" s="384"/>
      <c r="Z64" s="406"/>
      <c r="AA64" s="406"/>
      <c r="AB64" s="513">
        <f t="shared" si="6"/>
        <v>0</v>
      </c>
      <c r="AC64" s="407">
        <f t="shared" si="7"/>
        <v>143074.594155844</v>
      </c>
      <c r="AD64" s="408"/>
      <c r="AE64" s="382">
        <f t="shared" si="9"/>
        <v>143073.892857143</v>
      </c>
      <c r="AF64" s="430">
        <f t="shared" si="51"/>
        <v>143073.892857143</v>
      </c>
      <c r="AG64" s="431">
        <f t="shared" si="69"/>
        <v>0.70129870128585</v>
      </c>
      <c r="AH64" s="517">
        <f>[2]S2新Ratio布料!AB73*AA64</f>
        <v>0</v>
      </c>
      <c r="AI64" s="432"/>
      <c r="AJ64" s="432"/>
      <c r="AK64" s="432"/>
      <c r="AL64" s="433"/>
      <c r="AM64" s="433"/>
      <c r="AN64" s="433"/>
      <c r="AO64" s="432"/>
    </row>
    <row r="65" customHeight="1" spans="1:41">
      <c r="A65" s="310"/>
      <c r="B65" s="372" t="s">
        <v>3152</v>
      </c>
      <c r="C65" s="312">
        <v>0.0466269841269841</v>
      </c>
      <c r="D65" s="312">
        <v>0.0474025974025974</v>
      </c>
      <c r="E65" s="486" t="s">
        <v>3153</v>
      </c>
      <c r="F65" s="487" t="s">
        <v>3154</v>
      </c>
      <c r="G65" s="445">
        <v>1000</v>
      </c>
      <c r="H65" s="316">
        <v>0.00861</v>
      </c>
      <c r="I65" s="317">
        <f t="shared" ref="I65:I67" si="80">G65/H65</f>
        <v>116144.018583043</v>
      </c>
      <c r="J65" s="369">
        <v>18.45</v>
      </c>
      <c r="K65" s="500" t="s">
        <v>3067</v>
      </c>
      <c r="L65" s="371">
        <f t="shared" ref="L65:L67" si="81">G65/C65/H65</f>
        <v>2490918.52620654</v>
      </c>
      <c r="M65" s="371">
        <f t="shared" ref="M65:M67" si="82">G65/H65/D65</f>
        <v>2450161.48791625</v>
      </c>
      <c r="N65" s="372"/>
      <c r="O65" s="373">
        <f t="shared" si="4"/>
        <v>444.286701</v>
      </c>
      <c r="P65" s="374">
        <v>1000</v>
      </c>
      <c r="Q65" s="374"/>
      <c r="R65" s="374"/>
      <c r="S65" s="374"/>
      <c r="T65" s="374"/>
      <c r="U65" s="374"/>
      <c r="V65" s="374">
        <v>1000</v>
      </c>
      <c r="W65" s="374">
        <v>0</v>
      </c>
      <c r="X65" s="398">
        <f t="shared" si="48"/>
        <v>18450</v>
      </c>
      <c r="Y65" s="374"/>
      <c r="Z65" s="399"/>
      <c r="AA65" s="399"/>
      <c r="AB65" s="509">
        <f t="shared" si="6"/>
        <v>0</v>
      </c>
      <c r="AC65" s="400">
        <f t="shared" si="7"/>
        <v>2000</v>
      </c>
      <c r="AD65" s="401">
        <f t="shared" ref="AD65:AD67" si="83">AC65/H65</f>
        <v>232288.037166086</v>
      </c>
      <c r="AE65" s="377">
        <f t="shared" si="9"/>
        <v>143073.892857143</v>
      </c>
      <c r="AF65" s="422">
        <f t="shared" si="51"/>
        <v>1231.8662175</v>
      </c>
      <c r="AG65" s="423">
        <f t="shared" si="69"/>
        <v>768.1337825</v>
      </c>
      <c r="AH65" s="516">
        <f>[2]S2新Ratio布料!AB74*AA65</f>
        <v>0</v>
      </c>
      <c r="AI65" s="424">
        <f>$AI$4*C65</f>
        <v>4926.60714285714</v>
      </c>
      <c r="AJ65" s="424">
        <f>$AJ$4*D65</f>
        <v>138147.285714286</v>
      </c>
      <c r="AK65" s="424"/>
      <c r="AL65" s="425"/>
      <c r="AM65" s="425"/>
      <c r="AN65" s="425"/>
      <c r="AO65" s="424">
        <f t="shared" ref="AO65:AO67" si="84">AG65/H65/D65</f>
        <v>1882051.81144894</v>
      </c>
    </row>
    <row r="66" customHeight="1" spans="1:41">
      <c r="A66" s="318"/>
      <c r="B66" s="339"/>
      <c r="C66" s="320">
        <v>0.0466269841269841</v>
      </c>
      <c r="D66" s="320">
        <v>0.0474025974025974</v>
      </c>
      <c r="E66" s="491" t="s">
        <v>3147</v>
      </c>
      <c r="F66" s="490" t="s">
        <v>3155</v>
      </c>
      <c r="G66" s="327">
        <v>1000</v>
      </c>
      <c r="H66" s="324">
        <v>0.006615</v>
      </c>
      <c r="I66" s="325">
        <f t="shared" si="80"/>
        <v>151171.579743008</v>
      </c>
      <c r="J66" s="375">
        <v>16.72</v>
      </c>
      <c r="K66" s="501" t="s">
        <v>3067</v>
      </c>
      <c r="L66" s="377">
        <f t="shared" si="81"/>
        <v>3242147.92299899</v>
      </c>
      <c r="M66" s="377">
        <f t="shared" si="82"/>
        <v>3189099.07951004</v>
      </c>
      <c r="N66" s="502" t="s">
        <v>3148</v>
      </c>
      <c r="O66" s="378">
        <f t="shared" si="4"/>
        <v>341.3422215</v>
      </c>
      <c r="P66" s="379">
        <v>656.25</v>
      </c>
      <c r="Q66" s="379"/>
      <c r="R66" s="379"/>
      <c r="S66" s="379"/>
      <c r="T66" s="379"/>
      <c r="U66" s="379"/>
      <c r="V66" s="379">
        <v>650</v>
      </c>
      <c r="W66" s="379">
        <v>0</v>
      </c>
      <c r="X66" s="398">
        <f t="shared" si="48"/>
        <v>10972.5</v>
      </c>
      <c r="Y66" s="379">
        <v>53</v>
      </c>
      <c r="Z66" s="402">
        <f>H66/(H59+H66)</f>
        <v>0.65625</v>
      </c>
      <c r="AA66" s="402"/>
      <c r="AB66" s="511">
        <f t="shared" si="6"/>
        <v>34.78125</v>
      </c>
      <c r="AC66" s="403">
        <f t="shared" si="7"/>
        <v>1341.03125</v>
      </c>
      <c r="AD66" s="404">
        <f t="shared" si="83"/>
        <v>202725.812547241</v>
      </c>
      <c r="AE66" s="377">
        <f t="shared" si="9"/>
        <v>143073.892857143</v>
      </c>
      <c r="AF66" s="426">
        <f t="shared" si="51"/>
        <v>946.43380125</v>
      </c>
      <c r="AG66" s="427">
        <f t="shared" si="69"/>
        <v>394.59744875</v>
      </c>
      <c r="AH66" s="517">
        <f>[2]S2新Ratio布料!AB75*AA66</f>
        <v>0</v>
      </c>
      <c r="AI66" s="428"/>
      <c r="AJ66" s="428"/>
      <c r="AK66" s="428"/>
      <c r="AL66" s="429"/>
      <c r="AM66" s="429"/>
      <c r="AN66" s="429"/>
      <c r="AO66" s="428">
        <f t="shared" si="84"/>
        <v>1258410.36058564</v>
      </c>
    </row>
    <row r="67" customHeight="1" spans="1:41">
      <c r="A67" s="318"/>
      <c r="B67" s="339"/>
      <c r="C67" s="320">
        <v>0.0466269841269841</v>
      </c>
      <c r="D67" s="320">
        <v>0.0474025974025974</v>
      </c>
      <c r="E67" s="339" t="s">
        <v>3144</v>
      </c>
      <c r="F67" s="490"/>
      <c r="G67" s="323">
        <v>2500</v>
      </c>
      <c r="H67" s="324">
        <v>0.009555</v>
      </c>
      <c r="I67" s="325">
        <f t="shared" si="80"/>
        <v>261643.118785976</v>
      </c>
      <c r="J67" s="375">
        <v>25.3</v>
      </c>
      <c r="K67" s="501" t="s">
        <v>3067</v>
      </c>
      <c r="L67" s="377">
        <f t="shared" si="81"/>
        <v>5611409.86672902</v>
      </c>
      <c r="M67" s="377">
        <f t="shared" si="82"/>
        <v>5519594.56069045</v>
      </c>
      <c r="N67" s="502" t="s">
        <v>3156</v>
      </c>
      <c r="O67" s="378">
        <f t="shared" si="4"/>
        <v>493.0498755</v>
      </c>
      <c r="P67" s="379">
        <v>0</v>
      </c>
      <c r="Q67" s="379"/>
      <c r="R67" s="379"/>
      <c r="S67" s="379"/>
      <c r="T67" s="379">
        <v>1500</v>
      </c>
      <c r="U67" s="379"/>
      <c r="V67" s="379">
        <v>0</v>
      </c>
      <c r="W67" s="379">
        <v>0</v>
      </c>
      <c r="X67" s="398">
        <f t="shared" si="48"/>
        <v>0</v>
      </c>
      <c r="Y67" s="379">
        <v>1002</v>
      </c>
      <c r="Z67" s="402">
        <f>H67/(H67+H58)</f>
        <v>0.733870967741935</v>
      </c>
      <c r="AA67" s="402"/>
      <c r="AB67" s="511">
        <f t="shared" si="6"/>
        <v>735.338709677419</v>
      </c>
      <c r="AC67" s="403">
        <f t="shared" si="7"/>
        <v>2235.33870967742</v>
      </c>
      <c r="AD67" s="404">
        <f t="shared" si="83"/>
        <v>233944.396617208</v>
      </c>
      <c r="AE67" s="377">
        <f t="shared" si="9"/>
        <v>143073.892857143</v>
      </c>
      <c r="AF67" s="426">
        <f t="shared" si="51"/>
        <v>1367.07104625</v>
      </c>
      <c r="AG67" s="427">
        <f t="shared" si="69"/>
        <v>820.646776330646</v>
      </c>
      <c r="AH67" s="517">
        <f>[2]S2新Ratio布料!AB65*'77485车缝MA'!Z67</f>
        <v>47.6208870967742</v>
      </c>
      <c r="AI67" s="428"/>
      <c r="AJ67" s="428"/>
      <c r="AK67" s="428"/>
      <c r="AL67" s="429"/>
      <c r="AM67" s="429"/>
      <c r="AN67" s="429"/>
      <c r="AO67" s="428">
        <f t="shared" si="84"/>
        <v>1811854.99315311</v>
      </c>
    </row>
    <row r="68" customHeight="1" spans="1:41">
      <c r="A68" s="328"/>
      <c r="B68" s="337"/>
      <c r="C68" s="330">
        <v>0.0466269841269841</v>
      </c>
      <c r="D68" s="330">
        <v>0.0474025974025974</v>
      </c>
      <c r="E68" s="355" t="s">
        <v>3074</v>
      </c>
      <c r="F68" s="492"/>
      <c r="G68" s="357"/>
      <c r="H68" s="334">
        <v>1</v>
      </c>
      <c r="I68" s="353"/>
      <c r="J68" s="380">
        <v>1.5</v>
      </c>
      <c r="K68" s="503" t="s">
        <v>3067</v>
      </c>
      <c r="L68" s="382"/>
      <c r="M68" s="382"/>
      <c r="N68" s="337"/>
      <c r="O68" s="383">
        <f t="shared" si="4"/>
        <v>51601.2428571428</v>
      </c>
      <c r="P68" s="384">
        <v>19827.1396103896</v>
      </c>
      <c r="Q68" s="384"/>
      <c r="R68" s="384">
        <f t="shared" ref="R68:R72" si="85">400000*D68</f>
        <v>18961.038961039</v>
      </c>
      <c r="S68" s="384">
        <f>300000*$D$68</f>
        <v>14220.7792207792</v>
      </c>
      <c r="T68" s="384">
        <f>500000*$D$68</f>
        <v>23701.2987012987</v>
      </c>
      <c r="U68" s="384">
        <f>400000*$D$68</f>
        <v>18961.038961039</v>
      </c>
      <c r="V68" s="384">
        <v>23701.2987012987</v>
      </c>
      <c r="W68" s="384">
        <v>23702</v>
      </c>
      <c r="X68" s="405">
        <f t="shared" si="48"/>
        <v>79513.4366883117</v>
      </c>
      <c r="Y68" s="384"/>
      <c r="Z68" s="406"/>
      <c r="AA68" s="406"/>
      <c r="AB68" s="513">
        <f t="shared" si="6"/>
        <v>0</v>
      </c>
      <c r="AC68" s="407">
        <f t="shared" si="7"/>
        <v>143074.594155844</v>
      </c>
      <c r="AD68" s="408"/>
      <c r="AE68" s="382">
        <f t="shared" si="9"/>
        <v>143073.892857143</v>
      </c>
      <c r="AF68" s="430">
        <f t="shared" si="51"/>
        <v>143073.892857143</v>
      </c>
      <c r="AG68" s="431">
        <f t="shared" si="69"/>
        <v>0.70129870128585</v>
      </c>
      <c r="AH68" s="517">
        <f>[2]S2新Ratio布料!AB77*AA68</f>
        <v>0</v>
      </c>
      <c r="AI68" s="432"/>
      <c r="AJ68" s="432"/>
      <c r="AK68" s="432"/>
      <c r="AL68" s="433"/>
      <c r="AM68" s="433"/>
      <c r="AN68" s="433"/>
      <c r="AO68" s="432"/>
    </row>
    <row r="69" customHeight="1" spans="1:41">
      <c r="A69" s="310"/>
      <c r="B69" s="372" t="s">
        <v>3157</v>
      </c>
      <c r="C69" s="312">
        <v>0.0466269841269841</v>
      </c>
      <c r="D69" s="312">
        <v>0.0474025974025974</v>
      </c>
      <c r="E69" s="372" t="s">
        <v>3158</v>
      </c>
      <c r="F69" s="487" t="s">
        <v>3159</v>
      </c>
      <c r="G69" s="315">
        <v>800</v>
      </c>
      <c r="H69" s="316">
        <v>0.0084</v>
      </c>
      <c r="I69" s="317">
        <f t="shared" ref="I69:I74" si="86">G69/H69</f>
        <v>95238.0952380952</v>
      </c>
      <c r="J69" s="369">
        <v>19.8</v>
      </c>
      <c r="K69" s="500" t="s">
        <v>3067</v>
      </c>
      <c r="L69" s="371">
        <f t="shared" ref="L69:L74" si="87">G69/C69/H69</f>
        <v>2042553.19148936</v>
      </c>
      <c r="M69" s="371">
        <f t="shared" ref="M69:M74" si="88">G69/H69/D69</f>
        <v>2009132.42009132</v>
      </c>
      <c r="N69" s="372"/>
      <c r="O69" s="373">
        <f t="shared" ref="O69:O75" si="89">C69*$L$3*H69+D69*H69*$M$3</f>
        <v>433.45044</v>
      </c>
      <c r="P69" s="374">
        <v>800</v>
      </c>
      <c r="Q69" s="374"/>
      <c r="R69" s="374"/>
      <c r="S69" s="374"/>
      <c r="T69" s="374"/>
      <c r="U69" s="374">
        <v>800</v>
      </c>
      <c r="V69" s="374">
        <v>0</v>
      </c>
      <c r="W69" s="374">
        <v>0</v>
      </c>
      <c r="X69" s="398">
        <f t="shared" ref="X69:X75" si="90">(P69+Q69+R69+S69)*J69</f>
        <v>15840</v>
      </c>
      <c r="Y69" s="374"/>
      <c r="Z69" s="399"/>
      <c r="AA69" s="399"/>
      <c r="AB69" s="509">
        <f t="shared" ref="AB69:AB104" si="91">Y69*(Z69+AA69)</f>
        <v>0</v>
      </c>
      <c r="AC69" s="400">
        <f t="shared" ref="AC69:AC75" si="92">SUM(P69:W69)+AB69</f>
        <v>1600</v>
      </c>
      <c r="AD69" s="401">
        <f t="shared" ref="AD69:AD74" si="93">AC69/H69</f>
        <v>190476.19047619</v>
      </c>
      <c r="AE69" s="377">
        <f t="shared" ref="AE69:AE104" si="94">$AI$4*C69+$AJ$4*D69+AK69+AL69+AM69+AN69</f>
        <v>143073.892857143</v>
      </c>
      <c r="AF69" s="422">
        <f t="shared" si="51"/>
        <v>1201.8207</v>
      </c>
      <c r="AG69" s="423">
        <f t="shared" si="69"/>
        <v>398.1793</v>
      </c>
      <c r="AH69" s="516">
        <f>[2]S2新Ratio布料!AB78*AA69</f>
        <v>0</v>
      </c>
      <c r="AI69" s="424">
        <f>$AI$4*C69</f>
        <v>4926.60714285714</v>
      </c>
      <c r="AJ69" s="424">
        <f>$AJ$4*D69</f>
        <v>138147.285714286</v>
      </c>
      <c r="AK69" s="424"/>
      <c r="AL69" s="425"/>
      <c r="AM69" s="425"/>
      <c r="AN69" s="425"/>
      <c r="AO69" s="424">
        <f t="shared" ref="AO69:AO74" si="95">AG69/H69/D69</f>
        <v>999993.675799088</v>
      </c>
    </row>
    <row r="70" customHeight="1" spans="1:41">
      <c r="A70" s="328"/>
      <c r="B70" s="337"/>
      <c r="C70" s="330">
        <v>0.0466269841269841</v>
      </c>
      <c r="D70" s="330">
        <v>0.0474025974025974</v>
      </c>
      <c r="E70" s="355" t="s">
        <v>3074</v>
      </c>
      <c r="F70" s="492"/>
      <c r="G70" s="333"/>
      <c r="H70" s="334">
        <v>1</v>
      </c>
      <c r="I70" s="353"/>
      <c r="J70" s="380">
        <v>1.47</v>
      </c>
      <c r="K70" s="503" t="s">
        <v>3067</v>
      </c>
      <c r="L70" s="382"/>
      <c r="M70" s="382"/>
      <c r="N70" s="337"/>
      <c r="O70" s="383">
        <f t="shared" si="89"/>
        <v>51601.2428571428</v>
      </c>
      <c r="P70" s="384">
        <v>19827.1396103896</v>
      </c>
      <c r="Q70" s="384"/>
      <c r="R70" s="384">
        <f t="shared" si="85"/>
        <v>18961.038961039</v>
      </c>
      <c r="S70" s="384">
        <f>300000*$D$70</f>
        <v>14220.7792207792</v>
      </c>
      <c r="T70" s="384">
        <f>500000*$D$70</f>
        <v>23701.2987012987</v>
      </c>
      <c r="U70" s="384">
        <f>400000*$D$70</f>
        <v>18961.038961039</v>
      </c>
      <c r="V70" s="384">
        <v>23701.2987012987</v>
      </c>
      <c r="W70" s="384">
        <v>23702</v>
      </c>
      <c r="X70" s="405">
        <f t="shared" si="90"/>
        <v>77923.1679545454</v>
      </c>
      <c r="Y70" s="384"/>
      <c r="Z70" s="406"/>
      <c r="AA70" s="406"/>
      <c r="AB70" s="513">
        <f t="shared" si="91"/>
        <v>0</v>
      </c>
      <c r="AC70" s="407">
        <f t="shared" si="92"/>
        <v>143074.594155844</v>
      </c>
      <c r="AD70" s="408"/>
      <c r="AE70" s="382">
        <f t="shared" si="94"/>
        <v>143073.892857143</v>
      </c>
      <c r="AF70" s="430">
        <f t="shared" si="51"/>
        <v>143073.892857143</v>
      </c>
      <c r="AG70" s="431">
        <f t="shared" si="69"/>
        <v>0.70129870128585</v>
      </c>
      <c r="AH70" s="517">
        <f>[2]S2新Ratio布料!AB79*AA70</f>
        <v>0</v>
      </c>
      <c r="AI70" s="432"/>
      <c r="AJ70" s="432"/>
      <c r="AK70" s="432"/>
      <c r="AL70" s="433"/>
      <c r="AM70" s="433"/>
      <c r="AN70" s="433"/>
      <c r="AO70" s="432"/>
    </row>
    <row r="71" customHeight="1" spans="1:41">
      <c r="A71" s="310"/>
      <c r="B71" s="372" t="s">
        <v>3160</v>
      </c>
      <c r="C71" s="312">
        <v>0.0466269841269841</v>
      </c>
      <c r="D71" s="312">
        <v>0.0474025974025974</v>
      </c>
      <c r="E71" s="487" t="s">
        <v>3161</v>
      </c>
      <c r="F71" s="487" t="s">
        <v>3159</v>
      </c>
      <c r="G71" s="315">
        <v>800</v>
      </c>
      <c r="H71" s="316">
        <v>0.0084</v>
      </c>
      <c r="I71" s="317">
        <f t="shared" si="86"/>
        <v>95238.0952380952</v>
      </c>
      <c r="J71" s="369">
        <v>19.8</v>
      </c>
      <c r="K71" s="500" t="s">
        <v>3067</v>
      </c>
      <c r="L71" s="371">
        <f t="shared" si="87"/>
        <v>2042553.19148936</v>
      </c>
      <c r="M71" s="371">
        <f t="shared" si="88"/>
        <v>2009132.42009132</v>
      </c>
      <c r="N71" s="372"/>
      <c r="O71" s="373">
        <f t="shared" si="89"/>
        <v>433.45044</v>
      </c>
      <c r="P71" s="374">
        <v>800</v>
      </c>
      <c r="Q71" s="374"/>
      <c r="R71" s="374"/>
      <c r="S71" s="374"/>
      <c r="T71" s="374"/>
      <c r="U71" s="374">
        <v>800</v>
      </c>
      <c r="V71" s="374">
        <v>0</v>
      </c>
      <c r="W71" s="374">
        <v>0</v>
      </c>
      <c r="X71" s="398">
        <f t="shared" si="90"/>
        <v>15840</v>
      </c>
      <c r="Y71" s="374"/>
      <c r="Z71" s="399"/>
      <c r="AA71" s="399"/>
      <c r="AB71" s="509">
        <f t="shared" si="91"/>
        <v>0</v>
      </c>
      <c r="AC71" s="400">
        <f t="shared" si="92"/>
        <v>1600</v>
      </c>
      <c r="AD71" s="401">
        <f t="shared" si="93"/>
        <v>190476.19047619</v>
      </c>
      <c r="AE71" s="377">
        <f t="shared" si="94"/>
        <v>143073.892857143</v>
      </c>
      <c r="AF71" s="422">
        <f t="shared" si="51"/>
        <v>1201.8207</v>
      </c>
      <c r="AG71" s="423">
        <f t="shared" si="69"/>
        <v>398.1793</v>
      </c>
      <c r="AH71" s="516">
        <f>[2]S2新Ratio布料!AB80*AA71</f>
        <v>0</v>
      </c>
      <c r="AI71" s="424">
        <f>$AI$4*C71</f>
        <v>4926.60714285714</v>
      </c>
      <c r="AJ71" s="424">
        <f>$AJ$4*D71</f>
        <v>138147.285714286</v>
      </c>
      <c r="AK71" s="424"/>
      <c r="AL71" s="425"/>
      <c r="AM71" s="425"/>
      <c r="AN71" s="425"/>
      <c r="AO71" s="424">
        <f t="shared" si="95"/>
        <v>999993.675799088</v>
      </c>
    </row>
    <row r="72" customHeight="1" spans="1:41">
      <c r="A72" s="328"/>
      <c r="B72" s="337"/>
      <c r="C72" s="330">
        <v>0.0466269841269841</v>
      </c>
      <c r="D72" s="330">
        <v>0.0474025974025974</v>
      </c>
      <c r="E72" s="355" t="s">
        <v>3074</v>
      </c>
      <c r="F72" s="337"/>
      <c r="G72" s="333"/>
      <c r="H72" s="334">
        <v>1</v>
      </c>
      <c r="I72" s="335"/>
      <c r="J72" s="380">
        <v>1.47</v>
      </c>
      <c r="K72" s="503" t="s">
        <v>3067</v>
      </c>
      <c r="L72" s="382"/>
      <c r="M72" s="382"/>
      <c r="N72" s="337"/>
      <c r="O72" s="383">
        <f t="shared" si="89"/>
        <v>51601.2428571428</v>
      </c>
      <c r="P72" s="384">
        <v>19827.1396103896</v>
      </c>
      <c r="Q72" s="384"/>
      <c r="R72" s="384">
        <f t="shared" si="85"/>
        <v>18961.038961039</v>
      </c>
      <c r="S72" s="384">
        <f>300000*$D$72</f>
        <v>14220.7792207792</v>
      </c>
      <c r="T72" s="384">
        <f>500000*$D$72</f>
        <v>23701.2987012987</v>
      </c>
      <c r="U72" s="384">
        <f>400000*$D$72</f>
        <v>18961.038961039</v>
      </c>
      <c r="V72" s="384">
        <v>23701.2987012987</v>
      </c>
      <c r="W72" s="384">
        <v>23702</v>
      </c>
      <c r="X72" s="405">
        <f t="shared" si="90"/>
        <v>77923.1679545454</v>
      </c>
      <c r="Y72" s="384"/>
      <c r="Z72" s="406"/>
      <c r="AA72" s="406"/>
      <c r="AB72" s="513">
        <f t="shared" si="91"/>
        <v>0</v>
      </c>
      <c r="AC72" s="407">
        <f t="shared" si="92"/>
        <v>143074.594155844</v>
      </c>
      <c r="AD72" s="408"/>
      <c r="AE72" s="382">
        <f t="shared" si="94"/>
        <v>143073.892857143</v>
      </c>
      <c r="AF72" s="430">
        <f t="shared" si="51"/>
        <v>143073.892857143</v>
      </c>
      <c r="AG72" s="431">
        <f t="shared" si="69"/>
        <v>0.70129870128585</v>
      </c>
      <c r="AH72" s="517">
        <f>[2]S2新Ratio布料!AB81*AA72</f>
        <v>0</v>
      </c>
      <c r="AI72" s="432"/>
      <c r="AJ72" s="432"/>
      <c r="AK72" s="432"/>
      <c r="AL72" s="433"/>
      <c r="AM72" s="433"/>
      <c r="AN72" s="433"/>
      <c r="AO72" s="432"/>
    </row>
    <row r="73" customHeight="1" spans="1:41">
      <c r="A73" s="310"/>
      <c r="B73" s="372" t="s">
        <v>3162</v>
      </c>
      <c r="C73" s="312">
        <v>0.0208333333333333</v>
      </c>
      <c r="D73" s="521">
        <v>0.0474025974025974</v>
      </c>
      <c r="E73" s="487" t="s">
        <v>3163</v>
      </c>
      <c r="F73" s="372" t="s">
        <v>3164</v>
      </c>
      <c r="G73" s="488">
        <f>500-100</f>
        <v>400</v>
      </c>
      <c r="H73" s="316">
        <v>0.002268</v>
      </c>
      <c r="I73" s="317">
        <f t="shared" si="86"/>
        <v>176366.84303351</v>
      </c>
      <c r="J73" s="369">
        <v>16.5</v>
      </c>
      <c r="K73" s="500" t="s">
        <v>3067</v>
      </c>
      <c r="L73" s="371">
        <f t="shared" si="87"/>
        <v>8465608.46560848</v>
      </c>
      <c r="M73" s="371">
        <f t="shared" si="88"/>
        <v>3720615.59276171</v>
      </c>
      <c r="N73" s="372"/>
      <c r="O73" s="373">
        <f t="shared" si="89"/>
        <v>110.8505088</v>
      </c>
      <c r="P73" s="374">
        <v>400</v>
      </c>
      <c r="Q73" s="374"/>
      <c r="R73" s="374"/>
      <c r="S73" s="374"/>
      <c r="T73" s="374"/>
      <c r="U73" s="374"/>
      <c r="V73" s="374">
        <v>0</v>
      </c>
      <c r="W73" s="374">
        <v>0</v>
      </c>
      <c r="X73" s="398">
        <f t="shared" si="90"/>
        <v>6600</v>
      </c>
      <c r="Y73" s="374"/>
      <c r="Z73" s="399"/>
      <c r="AA73" s="399"/>
      <c r="AB73" s="509">
        <f t="shared" si="91"/>
        <v>0</v>
      </c>
      <c r="AC73" s="400">
        <f t="shared" si="92"/>
        <v>400</v>
      </c>
      <c r="AD73" s="401">
        <f t="shared" si="93"/>
        <v>176366.84303351</v>
      </c>
      <c r="AE73" s="377">
        <f t="shared" si="94"/>
        <v>140348.535714286</v>
      </c>
      <c r="AF73" s="422">
        <f t="shared" si="51"/>
        <v>318.310479</v>
      </c>
      <c r="AG73" s="423">
        <f t="shared" si="69"/>
        <v>81.689521</v>
      </c>
      <c r="AH73" s="516">
        <f>[2]S2新Ratio布料!AB82*AA73</f>
        <v>0</v>
      </c>
      <c r="AI73" s="424">
        <f>$AI$4*C73</f>
        <v>2201.25</v>
      </c>
      <c r="AJ73" s="424">
        <f>$AJ$4*D73</f>
        <v>138147.285714286</v>
      </c>
      <c r="AK73" s="424"/>
      <c r="AL73" s="425"/>
      <c r="AM73" s="425"/>
      <c r="AN73" s="425"/>
      <c r="AO73" s="424">
        <f t="shared" si="95"/>
        <v>759838.263994588</v>
      </c>
    </row>
    <row r="74" customHeight="1" spans="1:41">
      <c r="A74" s="318"/>
      <c r="B74" s="339"/>
      <c r="C74" s="320">
        <v>0.0208333333333333</v>
      </c>
      <c r="D74" s="522">
        <v>0.0474025974025974</v>
      </c>
      <c r="E74" s="523" t="s">
        <v>3165</v>
      </c>
      <c r="F74" s="339" t="s">
        <v>3166</v>
      </c>
      <c r="G74" s="323">
        <v>1000</v>
      </c>
      <c r="H74" s="324">
        <v>0.036435</v>
      </c>
      <c r="I74" s="325">
        <f t="shared" si="86"/>
        <v>27446.1369562234</v>
      </c>
      <c r="J74" s="375">
        <v>1.65</v>
      </c>
      <c r="K74" s="501" t="s">
        <v>3067</v>
      </c>
      <c r="L74" s="377">
        <f t="shared" si="87"/>
        <v>1317414.57389873</v>
      </c>
      <c r="M74" s="377">
        <f t="shared" si="88"/>
        <v>579000.697432658</v>
      </c>
      <c r="N74" s="339"/>
      <c r="O74" s="378">
        <f t="shared" si="89"/>
        <v>1780.792896</v>
      </c>
      <c r="P74" s="379">
        <v>1000</v>
      </c>
      <c r="Q74" s="379"/>
      <c r="R74" s="379">
        <v>1000</v>
      </c>
      <c r="S74" s="379"/>
      <c r="T74" s="379">
        <v>1000</v>
      </c>
      <c r="U74" s="379">
        <v>1000</v>
      </c>
      <c r="V74" s="379">
        <v>1000</v>
      </c>
      <c r="W74" s="379">
        <v>1000</v>
      </c>
      <c r="X74" s="398">
        <f t="shared" si="90"/>
        <v>3300</v>
      </c>
      <c r="Y74" s="379"/>
      <c r="Z74" s="402"/>
      <c r="AA74" s="402"/>
      <c r="AB74" s="511">
        <f t="shared" si="91"/>
        <v>0</v>
      </c>
      <c r="AC74" s="403">
        <f t="shared" si="92"/>
        <v>6000</v>
      </c>
      <c r="AD74" s="404">
        <f t="shared" si="93"/>
        <v>164676.82173734</v>
      </c>
      <c r="AE74" s="377">
        <f t="shared" si="94"/>
        <v>140348.535714286</v>
      </c>
      <c r="AF74" s="426">
        <f t="shared" si="51"/>
        <v>5113.59889875</v>
      </c>
      <c r="AG74" s="427">
        <f t="shared" si="69"/>
        <v>886.40110125</v>
      </c>
      <c r="AH74" s="517">
        <f>[2]S2新Ratio布料!AB83*AA74</f>
        <v>0</v>
      </c>
      <c r="AI74" s="428"/>
      <c r="AJ74" s="428"/>
      <c r="AK74" s="428"/>
      <c r="AL74" s="429"/>
      <c r="AM74" s="429"/>
      <c r="AN74" s="429"/>
      <c r="AO74" s="428">
        <f t="shared" si="95"/>
        <v>513226.855828826</v>
      </c>
    </row>
    <row r="75" customHeight="1" spans="1:41">
      <c r="A75" s="328"/>
      <c r="B75" s="337"/>
      <c r="C75" s="330">
        <v>0.0208333333333333</v>
      </c>
      <c r="D75" s="524">
        <v>0.0474025974025974</v>
      </c>
      <c r="E75" s="355" t="s">
        <v>3074</v>
      </c>
      <c r="F75" s="337"/>
      <c r="G75" s="333"/>
      <c r="H75" s="334">
        <v>1</v>
      </c>
      <c r="I75" s="353"/>
      <c r="J75" s="380">
        <v>0.45</v>
      </c>
      <c r="K75" s="503" t="s">
        <v>3067</v>
      </c>
      <c r="L75" s="382"/>
      <c r="M75" s="382"/>
      <c r="N75" s="337"/>
      <c r="O75" s="383">
        <f t="shared" si="89"/>
        <v>48875.8857142857</v>
      </c>
      <c r="P75" s="384">
        <v>9745.41</v>
      </c>
      <c r="Q75" s="384"/>
      <c r="R75" s="384">
        <v>26316</v>
      </c>
      <c r="S75" s="384">
        <v>14220</v>
      </c>
      <c r="T75" s="384">
        <f>500000*$D$75+2</f>
        <v>23703.2987012987</v>
      </c>
      <c r="U75" s="384">
        <f>400000*$D$75</f>
        <v>18961.038961039</v>
      </c>
      <c r="V75" s="384">
        <v>23701.2987012987</v>
      </c>
      <c r="W75" s="384">
        <v>23702</v>
      </c>
      <c r="X75" s="405">
        <f t="shared" si="90"/>
        <v>22626.6345</v>
      </c>
      <c r="Y75" s="384"/>
      <c r="Z75" s="406"/>
      <c r="AA75" s="406"/>
      <c r="AB75" s="513">
        <f t="shared" si="91"/>
        <v>0</v>
      </c>
      <c r="AC75" s="407">
        <f t="shared" si="92"/>
        <v>140349.046363636</v>
      </c>
      <c r="AD75" s="408"/>
      <c r="AE75" s="382">
        <f t="shared" si="94"/>
        <v>140348.535714286</v>
      </c>
      <c r="AF75" s="430">
        <f t="shared" si="51"/>
        <v>140348.535714286</v>
      </c>
      <c r="AG75" s="431">
        <f t="shared" si="69"/>
        <v>0.510649350646418</v>
      </c>
      <c r="AH75" s="517">
        <f>[2]S2新Ratio布料!AB84*AA75</f>
        <v>0</v>
      </c>
      <c r="AI75" s="432"/>
      <c r="AJ75" s="432"/>
      <c r="AK75" s="432"/>
      <c r="AL75" s="433"/>
      <c r="AM75" s="433"/>
      <c r="AN75" s="433"/>
      <c r="AO75" s="432"/>
    </row>
    <row r="76" ht="70.25" customHeight="1" spans="1:41">
      <c r="A76" s="344"/>
      <c r="B76" s="348" t="s">
        <v>2720</v>
      </c>
      <c r="C76" s="346">
        <v>0.0466269841269841</v>
      </c>
      <c r="D76" s="346">
        <v>0.0474025974025974</v>
      </c>
      <c r="E76" s="525" t="s">
        <v>3167</v>
      </c>
      <c r="F76" s="348"/>
      <c r="G76" s="348"/>
      <c r="H76" s="349"/>
      <c r="I76" s="350"/>
      <c r="J76" s="386"/>
      <c r="K76" s="529"/>
      <c r="L76" s="388"/>
      <c r="M76" s="388"/>
      <c r="N76" s="348"/>
      <c r="O76" s="389"/>
      <c r="P76" s="390"/>
      <c r="Q76" s="390"/>
      <c r="R76" s="390"/>
      <c r="S76" s="390"/>
      <c r="T76" s="390"/>
      <c r="U76" s="390"/>
      <c r="V76" s="390"/>
      <c r="W76" s="390"/>
      <c r="X76" s="412">
        <f t="shared" ref="X76:X79" si="96">(P76+Q76+R76)*J76</f>
        <v>0</v>
      </c>
      <c r="Y76" s="535"/>
      <c r="Z76" s="413"/>
      <c r="AA76" s="413"/>
      <c r="AB76" s="536">
        <f t="shared" si="91"/>
        <v>0</v>
      </c>
      <c r="AC76" s="464">
        <f t="shared" ref="AC76:AC79" si="97">P76+AB76+Q76</f>
        <v>0</v>
      </c>
      <c r="AD76" s="414"/>
      <c r="AE76" s="382">
        <f t="shared" si="94"/>
        <v>198334.892857143</v>
      </c>
      <c r="AF76" s="434"/>
      <c r="AG76" s="435">
        <f t="shared" si="69"/>
        <v>0</v>
      </c>
      <c r="AH76" s="516">
        <f>[2]S2新Ratio布料!AB85*AA76</f>
        <v>0</v>
      </c>
      <c r="AI76" s="436">
        <f>$AI$4*C76</f>
        <v>4926.60714285714</v>
      </c>
      <c r="AJ76" s="436">
        <f>$AJ$4*D76</f>
        <v>138147.285714286</v>
      </c>
      <c r="AK76" s="436">
        <f>15970+11700+22330</f>
        <v>50000</v>
      </c>
      <c r="AL76" s="437"/>
      <c r="AM76" s="437">
        <f t="shared" ref="AM76:AM81" si="98">300+3200</f>
        <v>3500</v>
      </c>
      <c r="AN76" s="437">
        <v>1761</v>
      </c>
      <c r="AO76" s="436"/>
    </row>
    <row r="77" ht="70.25" customHeight="1" spans="1:41">
      <c r="A77" s="344"/>
      <c r="B77" s="348" t="s">
        <v>2813</v>
      </c>
      <c r="C77" s="346">
        <v>0.0466269841269841</v>
      </c>
      <c r="D77" s="346">
        <v>0.0474025974025974</v>
      </c>
      <c r="E77" s="525" t="s">
        <v>3168</v>
      </c>
      <c r="F77" s="348"/>
      <c r="G77" s="348"/>
      <c r="H77" s="349"/>
      <c r="I77" s="350"/>
      <c r="J77" s="386"/>
      <c r="K77" s="529"/>
      <c r="L77" s="388"/>
      <c r="M77" s="388"/>
      <c r="N77" s="348"/>
      <c r="O77" s="389"/>
      <c r="P77" s="390"/>
      <c r="Q77" s="390"/>
      <c r="R77" s="390"/>
      <c r="S77" s="390"/>
      <c r="T77" s="390"/>
      <c r="U77" s="390"/>
      <c r="V77" s="390"/>
      <c r="W77" s="390"/>
      <c r="X77" s="412">
        <f t="shared" si="96"/>
        <v>0</v>
      </c>
      <c r="Y77" s="535"/>
      <c r="Z77" s="413"/>
      <c r="AA77" s="413"/>
      <c r="AB77" s="536">
        <f t="shared" si="91"/>
        <v>0</v>
      </c>
      <c r="AC77" s="464">
        <f t="shared" si="97"/>
        <v>0</v>
      </c>
      <c r="AD77" s="414"/>
      <c r="AE77" s="382">
        <f t="shared" si="94"/>
        <v>143073.892857143</v>
      </c>
      <c r="AF77" s="434"/>
      <c r="AG77" s="435">
        <f t="shared" si="69"/>
        <v>0</v>
      </c>
      <c r="AH77" s="538"/>
      <c r="AI77" s="436">
        <f>$AI$4*C77</f>
        <v>4926.60714285714</v>
      </c>
      <c r="AJ77" s="436">
        <f>$AJ$4*D77</f>
        <v>138147.285714286</v>
      </c>
      <c r="AK77" s="436"/>
      <c r="AL77" s="437"/>
      <c r="AM77" s="437"/>
      <c r="AN77" s="437"/>
      <c r="AO77" s="436"/>
    </row>
    <row r="78" ht="72.65" customHeight="1" spans="1:41">
      <c r="A78" s="344"/>
      <c r="B78" s="348" t="s">
        <v>2818</v>
      </c>
      <c r="C78" s="346">
        <v>0.0466269841269841</v>
      </c>
      <c r="D78" s="346">
        <v>0.0474025974025974</v>
      </c>
      <c r="E78" s="525" t="s">
        <v>3169</v>
      </c>
      <c r="F78" s="348"/>
      <c r="G78" s="348"/>
      <c r="H78" s="349"/>
      <c r="I78" s="350"/>
      <c r="J78" s="386"/>
      <c r="K78" s="529"/>
      <c r="L78" s="388"/>
      <c r="M78" s="388"/>
      <c r="N78" s="348"/>
      <c r="O78" s="389"/>
      <c r="P78" s="390"/>
      <c r="Q78" s="390"/>
      <c r="R78" s="390"/>
      <c r="S78" s="390"/>
      <c r="T78" s="390"/>
      <c r="U78" s="390"/>
      <c r="V78" s="390"/>
      <c r="W78" s="390"/>
      <c r="X78" s="412">
        <f t="shared" si="96"/>
        <v>0</v>
      </c>
      <c r="Y78" s="535"/>
      <c r="Z78" s="413"/>
      <c r="AA78" s="413"/>
      <c r="AB78" s="536">
        <f t="shared" si="91"/>
        <v>0</v>
      </c>
      <c r="AC78" s="464">
        <f t="shared" si="97"/>
        <v>0</v>
      </c>
      <c r="AD78" s="414"/>
      <c r="AE78" s="382">
        <f t="shared" si="94"/>
        <v>143073.892857143</v>
      </c>
      <c r="AF78" s="434"/>
      <c r="AG78" s="435">
        <f t="shared" si="69"/>
        <v>0</v>
      </c>
      <c r="AH78" s="538"/>
      <c r="AI78" s="436">
        <f>$AI$4*C78</f>
        <v>4926.60714285714</v>
      </c>
      <c r="AJ78" s="436">
        <f>$AJ$4*D78</f>
        <v>138147.285714286</v>
      </c>
      <c r="AK78" s="436"/>
      <c r="AL78" s="437"/>
      <c r="AM78" s="437"/>
      <c r="AN78" s="437"/>
      <c r="AO78" s="436"/>
    </row>
    <row r="79" ht="60" customHeight="1" spans="1:41">
      <c r="A79" s="526"/>
      <c r="B79" s="339" t="s">
        <v>2823</v>
      </c>
      <c r="C79" s="320">
        <v>0.0466269841269841</v>
      </c>
      <c r="D79" s="320">
        <v>0.0474025974025974</v>
      </c>
      <c r="E79" s="490" t="s">
        <v>3170</v>
      </c>
      <c r="F79" s="339"/>
      <c r="G79" s="339"/>
      <c r="H79" s="527"/>
      <c r="I79" s="530"/>
      <c r="J79" s="375"/>
      <c r="K79" s="501"/>
      <c r="L79" s="377"/>
      <c r="M79" s="377"/>
      <c r="N79" s="339"/>
      <c r="O79" s="378"/>
      <c r="P79" s="379"/>
      <c r="Q79" s="379"/>
      <c r="R79" s="379"/>
      <c r="S79" s="379"/>
      <c r="T79" s="379"/>
      <c r="U79" s="379"/>
      <c r="V79" s="379"/>
      <c r="W79" s="379"/>
      <c r="X79" s="412">
        <f t="shared" si="96"/>
        <v>0</v>
      </c>
      <c r="Y79" s="537"/>
      <c r="Z79" s="402"/>
      <c r="AA79" s="402"/>
      <c r="AB79" s="511">
        <f t="shared" si="91"/>
        <v>0</v>
      </c>
      <c r="AC79" s="464">
        <f t="shared" si="97"/>
        <v>0</v>
      </c>
      <c r="AD79" s="404"/>
      <c r="AE79" s="382">
        <f t="shared" si="94"/>
        <v>143473.892857143</v>
      </c>
      <c r="AF79" s="426"/>
      <c r="AG79" s="427">
        <f t="shared" si="69"/>
        <v>0</v>
      </c>
      <c r="AH79" s="517"/>
      <c r="AI79" s="428">
        <f>$AI$4*C79</f>
        <v>4926.60714285714</v>
      </c>
      <c r="AJ79" s="428">
        <f>$AJ$4*D79</f>
        <v>138147.285714286</v>
      </c>
      <c r="AK79" s="428"/>
      <c r="AL79" s="429">
        <f t="shared" ref="AL79:AL81" si="99">100+300</f>
        <v>400</v>
      </c>
      <c r="AM79" s="429"/>
      <c r="AN79" s="429"/>
      <c r="AO79" s="428"/>
    </row>
    <row r="80" customHeight="1" spans="1:41">
      <c r="A80" s="310"/>
      <c r="B80" s="372" t="s">
        <v>3171</v>
      </c>
      <c r="C80" s="312"/>
      <c r="D80" s="312">
        <v>0.0474025974025974</v>
      </c>
      <c r="E80" s="486" t="s">
        <v>3172</v>
      </c>
      <c r="F80" s="487" t="s">
        <v>3173</v>
      </c>
      <c r="G80" s="445">
        <v>500</v>
      </c>
      <c r="H80" s="316">
        <v>0.00357</v>
      </c>
      <c r="I80" s="317">
        <f t="shared" ref="I80:I83" si="100">G80/H80</f>
        <v>140056.022408964</v>
      </c>
      <c r="J80" s="369">
        <v>17.6</v>
      </c>
      <c r="K80" s="500" t="s">
        <v>3174</v>
      </c>
      <c r="L80" s="371"/>
      <c r="M80" s="371">
        <f t="shared" ref="M80:M83" si="101">G80/H80/D80</f>
        <v>2954606.5001343</v>
      </c>
      <c r="N80" s="372"/>
      <c r="O80" s="373">
        <f>$M$3*D80*H80</f>
        <v>166.6284495</v>
      </c>
      <c r="P80" s="374"/>
      <c r="Q80" s="374">
        <v>500</v>
      </c>
      <c r="R80" s="374"/>
      <c r="S80" s="374"/>
      <c r="T80" s="374"/>
      <c r="U80" s="374"/>
      <c r="V80" s="374">
        <v>0</v>
      </c>
      <c r="W80" s="374">
        <v>500</v>
      </c>
      <c r="X80" s="398">
        <f t="shared" ref="X80:X104" si="102">(P80+Q80+R80+S80)*J80</f>
        <v>8800</v>
      </c>
      <c r="Y80" s="374"/>
      <c r="Z80" s="399"/>
      <c r="AA80" s="399"/>
      <c r="AB80" s="509">
        <f t="shared" si="91"/>
        <v>0</v>
      </c>
      <c r="AC80" s="400">
        <f t="shared" ref="AC80:AC104" si="103">SUM(P80:W80)+AB80</f>
        <v>1000</v>
      </c>
      <c r="AD80" s="401"/>
      <c r="AE80" s="377">
        <f t="shared" si="94"/>
        <v>142047.285714286</v>
      </c>
      <c r="AF80" s="422">
        <f t="shared" ref="AF80:AF104" si="104">AE80*H80</f>
        <v>507.10881</v>
      </c>
      <c r="AG80" s="423">
        <f t="shared" si="69"/>
        <v>492.89119</v>
      </c>
      <c r="AH80" s="516"/>
      <c r="AI80" s="424"/>
      <c r="AJ80" s="424">
        <f>$AJ$4*D80</f>
        <v>138147.285714286</v>
      </c>
      <c r="AK80" s="424"/>
      <c r="AL80" s="425">
        <f t="shared" si="99"/>
        <v>400</v>
      </c>
      <c r="AM80" s="425">
        <f t="shared" si="98"/>
        <v>3500</v>
      </c>
      <c r="AN80" s="425"/>
      <c r="AO80" s="424">
        <f t="shared" ref="AO80:AO85" si="105">AG80/H80/D80</f>
        <v>2912599.02766586</v>
      </c>
    </row>
    <row r="81" customHeight="1" spans="1:41">
      <c r="A81" s="328"/>
      <c r="B81" s="337"/>
      <c r="C81" s="330"/>
      <c r="D81" s="330">
        <v>0.0474025974025974</v>
      </c>
      <c r="E81" s="355" t="s">
        <v>3074</v>
      </c>
      <c r="F81" s="337"/>
      <c r="G81" s="333"/>
      <c r="H81" s="334">
        <v>1</v>
      </c>
      <c r="I81" s="335"/>
      <c r="J81" s="380">
        <v>1.1226</v>
      </c>
      <c r="K81" s="503" t="s">
        <v>3174</v>
      </c>
      <c r="L81" s="382"/>
      <c r="M81" s="382"/>
      <c r="N81" s="337"/>
      <c r="O81" s="383"/>
      <c r="P81" s="384"/>
      <c r="Q81" s="384">
        <v>14900.5324675325</v>
      </c>
      <c r="R81" s="384">
        <f t="shared" ref="R81:R86" si="106">400000*D81</f>
        <v>18961.038961039</v>
      </c>
      <c r="S81" s="384">
        <f>300000*$D$81</f>
        <v>14220.7792207792</v>
      </c>
      <c r="T81" s="384">
        <f>500000*$D$81+100+300</f>
        <v>24101.2987012987</v>
      </c>
      <c r="U81" s="384">
        <f>400000*$D$81+3200+300</f>
        <v>22461.038961039</v>
      </c>
      <c r="V81" s="384">
        <v>24701.2987012987</v>
      </c>
      <c r="W81" s="384">
        <v>23702</v>
      </c>
      <c r="X81" s="405">
        <f t="shared" si="102"/>
        <v>53977.2468389611</v>
      </c>
      <c r="Y81" s="384"/>
      <c r="Z81" s="406"/>
      <c r="AA81" s="406"/>
      <c r="AB81" s="513">
        <f t="shared" si="91"/>
        <v>0</v>
      </c>
      <c r="AC81" s="407">
        <f t="shared" si="103"/>
        <v>143047.987012987</v>
      </c>
      <c r="AD81" s="408"/>
      <c r="AE81" s="382">
        <f t="shared" si="94"/>
        <v>142047.285714286</v>
      </c>
      <c r="AF81" s="430">
        <f t="shared" si="104"/>
        <v>142047.285714286</v>
      </c>
      <c r="AG81" s="431">
        <f t="shared" si="69"/>
        <v>1000.70129870131</v>
      </c>
      <c r="AH81" s="518"/>
      <c r="AI81" s="432"/>
      <c r="AJ81" s="432"/>
      <c r="AK81" s="432"/>
      <c r="AL81" s="433">
        <f t="shared" si="99"/>
        <v>400</v>
      </c>
      <c r="AM81" s="433">
        <f t="shared" si="98"/>
        <v>3500</v>
      </c>
      <c r="AN81" s="433"/>
      <c r="AO81" s="432"/>
    </row>
    <row r="82" customHeight="1" spans="1:41">
      <c r="A82" s="310"/>
      <c r="B82" s="372" t="s">
        <v>3175</v>
      </c>
      <c r="C82" s="312"/>
      <c r="D82" s="312">
        <v>0.0474025974025974</v>
      </c>
      <c r="E82" s="486" t="s">
        <v>3176</v>
      </c>
      <c r="F82" s="487" t="s">
        <v>3177</v>
      </c>
      <c r="G82" s="445">
        <v>100</v>
      </c>
      <c r="H82" s="316">
        <v>0.00546</v>
      </c>
      <c r="I82" s="317">
        <f t="shared" si="100"/>
        <v>18315.0183150183</v>
      </c>
      <c r="J82" s="369">
        <v>13.56</v>
      </c>
      <c r="K82" s="500" t="s">
        <v>3174</v>
      </c>
      <c r="L82" s="371"/>
      <c r="M82" s="371">
        <f t="shared" si="101"/>
        <v>386371.619248332</v>
      </c>
      <c r="N82" s="372"/>
      <c r="O82" s="373">
        <f>$M$3*D82*H82</f>
        <v>254.843511</v>
      </c>
      <c r="P82" s="374"/>
      <c r="Q82" s="374">
        <v>100</v>
      </c>
      <c r="R82" s="374">
        <v>100</v>
      </c>
      <c r="S82" s="374">
        <v>100</v>
      </c>
      <c r="T82" s="374">
        <v>100</v>
      </c>
      <c r="U82" s="374">
        <v>100</v>
      </c>
      <c r="V82" s="374">
        <v>125</v>
      </c>
      <c r="W82" s="374">
        <v>130</v>
      </c>
      <c r="X82" s="398">
        <f t="shared" si="102"/>
        <v>4068</v>
      </c>
      <c r="Y82" s="374"/>
      <c r="Z82" s="399"/>
      <c r="AA82" s="399"/>
      <c r="AB82" s="509">
        <f t="shared" si="91"/>
        <v>0</v>
      </c>
      <c r="AC82" s="400">
        <f t="shared" si="103"/>
        <v>755</v>
      </c>
      <c r="AD82" s="401"/>
      <c r="AE82" s="377">
        <f t="shared" si="94"/>
        <v>138147.285714286</v>
      </c>
      <c r="AF82" s="422">
        <f t="shared" si="104"/>
        <v>754.28418</v>
      </c>
      <c r="AG82" s="423">
        <f t="shared" si="69"/>
        <v>0.715820000000122</v>
      </c>
      <c r="AH82" s="516"/>
      <c r="AI82" s="424"/>
      <c r="AJ82" s="424">
        <f>$AJ$4*D82</f>
        <v>138147.285714286</v>
      </c>
      <c r="AK82" s="424"/>
      <c r="AL82" s="425"/>
      <c r="AM82" s="425"/>
      <c r="AN82" s="425"/>
      <c r="AO82" s="424">
        <f t="shared" si="105"/>
        <v>2765.72532490388</v>
      </c>
    </row>
    <row r="83" customHeight="1" spans="1:41">
      <c r="A83" s="318"/>
      <c r="B83" s="339"/>
      <c r="C83" s="320"/>
      <c r="D83" s="320">
        <v>0.0474025974025974</v>
      </c>
      <c r="E83" s="490" t="s">
        <v>3178</v>
      </c>
      <c r="F83" s="339" t="s">
        <v>3179</v>
      </c>
      <c r="G83" s="323">
        <v>100</v>
      </c>
      <c r="H83" s="324">
        <v>0.007455</v>
      </c>
      <c r="I83" s="325">
        <f t="shared" si="100"/>
        <v>13413.8162307176</v>
      </c>
      <c r="J83" s="375">
        <v>3.42</v>
      </c>
      <c r="K83" s="501" t="s">
        <v>3174</v>
      </c>
      <c r="L83" s="377"/>
      <c r="M83" s="377">
        <f t="shared" si="101"/>
        <v>282976.397195961</v>
      </c>
      <c r="N83" s="339"/>
      <c r="O83" s="378">
        <f>$M$3*D83*H83</f>
        <v>347.95940925</v>
      </c>
      <c r="P83" s="379"/>
      <c r="Q83" s="379">
        <v>120</v>
      </c>
      <c r="R83" s="379">
        <v>132</v>
      </c>
      <c r="S83" s="379">
        <v>106</v>
      </c>
      <c r="T83" s="379">
        <v>177</v>
      </c>
      <c r="U83" s="379">
        <v>142</v>
      </c>
      <c r="V83" s="379">
        <v>176</v>
      </c>
      <c r="W83" s="379">
        <v>178</v>
      </c>
      <c r="X83" s="398">
        <f t="shared" si="102"/>
        <v>1224.36</v>
      </c>
      <c r="Y83" s="379"/>
      <c r="Z83" s="402"/>
      <c r="AA83" s="402"/>
      <c r="AB83" s="511">
        <f t="shared" si="91"/>
        <v>0</v>
      </c>
      <c r="AC83" s="403">
        <f t="shared" si="103"/>
        <v>1031</v>
      </c>
      <c r="AD83" s="404"/>
      <c r="AE83" s="377">
        <f t="shared" si="94"/>
        <v>138147.285714286</v>
      </c>
      <c r="AF83" s="426">
        <f t="shared" si="104"/>
        <v>1029.888015</v>
      </c>
      <c r="AG83" s="427">
        <f t="shared" si="69"/>
        <v>1.111985</v>
      </c>
      <c r="AH83" s="517"/>
      <c r="AI83" s="428"/>
      <c r="AJ83" s="428"/>
      <c r="AK83" s="428"/>
      <c r="AL83" s="429"/>
      <c r="AM83" s="429"/>
      <c r="AN83" s="429"/>
      <c r="AO83" s="428"/>
    </row>
    <row r="84" customHeight="1" spans="1:41">
      <c r="A84" s="328"/>
      <c r="B84" s="337"/>
      <c r="C84" s="330"/>
      <c r="D84" s="330">
        <v>0.0474025974025974</v>
      </c>
      <c r="E84" s="355" t="s">
        <v>3074</v>
      </c>
      <c r="F84" s="337"/>
      <c r="G84" s="333"/>
      <c r="H84" s="334">
        <v>1</v>
      </c>
      <c r="I84" s="335"/>
      <c r="J84" s="380">
        <v>0.725</v>
      </c>
      <c r="K84" s="503" t="s">
        <v>3174</v>
      </c>
      <c r="L84" s="382"/>
      <c r="M84" s="382"/>
      <c r="N84" s="337"/>
      <c r="O84" s="383"/>
      <c r="P84" s="384"/>
      <c r="Q84" s="384">
        <v>14900.5324675325</v>
      </c>
      <c r="R84" s="384">
        <f t="shared" si="106"/>
        <v>18961.038961039</v>
      </c>
      <c r="S84" s="384">
        <f>300000*$D$84</f>
        <v>14220.7792207792</v>
      </c>
      <c r="T84" s="384">
        <f>500000*$D$84</f>
        <v>23701.2987012987</v>
      </c>
      <c r="U84" s="384">
        <f>400000*$D$84</f>
        <v>18961.038961039</v>
      </c>
      <c r="V84" s="384">
        <v>23701.2987012987</v>
      </c>
      <c r="W84" s="384">
        <v>23702</v>
      </c>
      <c r="X84" s="405">
        <f t="shared" si="102"/>
        <v>34859.7042207792</v>
      </c>
      <c r="Y84" s="384"/>
      <c r="Z84" s="406"/>
      <c r="AA84" s="406"/>
      <c r="AB84" s="513">
        <f t="shared" si="91"/>
        <v>0</v>
      </c>
      <c r="AC84" s="407">
        <f t="shared" si="103"/>
        <v>138147.987012987</v>
      </c>
      <c r="AD84" s="408"/>
      <c r="AE84" s="382">
        <f t="shared" si="94"/>
        <v>138147.285714286</v>
      </c>
      <c r="AF84" s="430">
        <f t="shared" si="104"/>
        <v>138147.285714286</v>
      </c>
      <c r="AG84" s="431">
        <f t="shared" si="69"/>
        <v>0.701298701314954</v>
      </c>
      <c r="AH84" s="518"/>
      <c r="AI84" s="432"/>
      <c r="AJ84" s="432"/>
      <c r="AK84" s="432"/>
      <c r="AL84" s="433"/>
      <c r="AM84" s="433"/>
      <c r="AN84" s="433"/>
      <c r="AO84" s="432"/>
    </row>
    <row r="85" customHeight="1" spans="1:41">
      <c r="A85" s="310"/>
      <c r="B85" s="372" t="s">
        <v>3180</v>
      </c>
      <c r="C85" s="312"/>
      <c r="D85" s="312">
        <v>0.0474025974025974</v>
      </c>
      <c r="E85" s="486" t="s">
        <v>3181</v>
      </c>
      <c r="F85" s="487" t="s">
        <v>3182</v>
      </c>
      <c r="G85" s="445">
        <v>500</v>
      </c>
      <c r="H85" s="316">
        <v>0.00504</v>
      </c>
      <c r="I85" s="317">
        <f t="shared" ref="I85:I89" si="107">G85/H85</f>
        <v>99206.3492063492</v>
      </c>
      <c r="J85" s="369">
        <v>6.38</v>
      </c>
      <c r="K85" s="500" t="s">
        <v>3174</v>
      </c>
      <c r="L85" s="371"/>
      <c r="M85" s="371">
        <f t="shared" ref="M85:M89" si="108">G85/H85/D85</f>
        <v>2092846.27092846</v>
      </c>
      <c r="N85" s="372"/>
      <c r="O85" s="373">
        <f>$M$3*D85*H85</f>
        <v>235.240164</v>
      </c>
      <c r="P85" s="374"/>
      <c r="Q85" s="374">
        <v>500</v>
      </c>
      <c r="R85" s="374"/>
      <c r="S85" s="374"/>
      <c r="T85" s="374"/>
      <c r="U85" s="374"/>
      <c r="V85" s="374">
        <v>500</v>
      </c>
      <c r="W85" s="374">
        <v>0</v>
      </c>
      <c r="X85" s="398">
        <f t="shared" si="102"/>
        <v>3190</v>
      </c>
      <c r="Y85" s="374"/>
      <c r="Z85" s="399"/>
      <c r="AA85" s="399"/>
      <c r="AB85" s="509">
        <f t="shared" si="91"/>
        <v>0</v>
      </c>
      <c r="AC85" s="400">
        <f t="shared" si="103"/>
        <v>1000</v>
      </c>
      <c r="AD85" s="401"/>
      <c r="AE85" s="377">
        <f t="shared" si="94"/>
        <v>138147.285714286</v>
      </c>
      <c r="AF85" s="422">
        <f t="shared" si="104"/>
        <v>696.26232</v>
      </c>
      <c r="AG85" s="423">
        <f t="shared" si="69"/>
        <v>303.73768</v>
      </c>
      <c r="AH85" s="516"/>
      <c r="AI85" s="424"/>
      <c r="AJ85" s="424">
        <f>$AJ$4*D85</f>
        <v>138147.285714286</v>
      </c>
      <c r="AK85" s="424"/>
      <c r="AL85" s="425"/>
      <c r="AM85" s="425"/>
      <c r="AN85" s="425"/>
      <c r="AO85" s="424">
        <f t="shared" si="105"/>
        <v>1271352.54185693</v>
      </c>
    </row>
    <row r="86" customHeight="1" spans="1:41">
      <c r="A86" s="328"/>
      <c r="B86" s="337"/>
      <c r="C86" s="330"/>
      <c r="D86" s="330">
        <v>0.0474025974025974</v>
      </c>
      <c r="E86" s="355" t="s">
        <v>3074</v>
      </c>
      <c r="F86" s="337"/>
      <c r="G86" s="333"/>
      <c r="H86" s="334">
        <v>1</v>
      </c>
      <c r="I86" s="335"/>
      <c r="J86" s="380">
        <v>1.35</v>
      </c>
      <c r="K86" s="503" t="s">
        <v>3174</v>
      </c>
      <c r="L86" s="382"/>
      <c r="M86" s="382"/>
      <c r="N86" s="337"/>
      <c r="O86" s="383"/>
      <c r="P86" s="384"/>
      <c r="Q86" s="384">
        <v>14900.5324675325</v>
      </c>
      <c r="R86" s="384">
        <f t="shared" si="106"/>
        <v>18961.038961039</v>
      </c>
      <c r="S86" s="384">
        <f>300000*$D$86</f>
        <v>14220.7792207792</v>
      </c>
      <c r="T86" s="384">
        <f>500000*$D$86</f>
        <v>23701.2987012987</v>
      </c>
      <c r="U86" s="384">
        <f>400000*$D$86</f>
        <v>18961.038961039</v>
      </c>
      <c r="V86" s="384">
        <v>23701.2987012987</v>
      </c>
      <c r="W86" s="384">
        <v>23702</v>
      </c>
      <c r="X86" s="405">
        <f t="shared" si="102"/>
        <v>64911.1733766234</v>
      </c>
      <c r="Y86" s="384"/>
      <c r="Z86" s="406"/>
      <c r="AA86" s="406"/>
      <c r="AB86" s="513">
        <f t="shared" si="91"/>
        <v>0</v>
      </c>
      <c r="AC86" s="407">
        <f t="shared" si="103"/>
        <v>138147.987012987</v>
      </c>
      <c r="AD86" s="408"/>
      <c r="AE86" s="382">
        <f t="shared" si="94"/>
        <v>138147.285714286</v>
      </c>
      <c r="AF86" s="430">
        <f t="shared" si="104"/>
        <v>138147.285714286</v>
      </c>
      <c r="AG86" s="431">
        <f t="shared" si="69"/>
        <v>0.701298701314954</v>
      </c>
      <c r="AH86" s="518"/>
      <c r="AI86" s="432"/>
      <c r="AJ86" s="432"/>
      <c r="AK86" s="432"/>
      <c r="AL86" s="433"/>
      <c r="AM86" s="433"/>
      <c r="AN86" s="433"/>
      <c r="AO86" s="432"/>
    </row>
    <row r="87" customHeight="1" spans="1:41">
      <c r="A87" s="310"/>
      <c r="B87" s="372" t="s">
        <v>3183</v>
      </c>
      <c r="C87" s="312"/>
      <c r="D87" s="312">
        <v>0.0474025974025974</v>
      </c>
      <c r="E87" s="486" t="s">
        <v>3184</v>
      </c>
      <c r="F87" s="487" t="s">
        <v>3185</v>
      </c>
      <c r="G87" s="445">
        <v>500</v>
      </c>
      <c r="H87" s="316">
        <v>0.00399</v>
      </c>
      <c r="I87" s="317">
        <f t="shared" si="107"/>
        <v>125313.28320802</v>
      </c>
      <c r="J87" s="369">
        <v>17.6</v>
      </c>
      <c r="K87" s="500" t="s">
        <v>3174</v>
      </c>
      <c r="L87" s="371"/>
      <c r="M87" s="371">
        <f t="shared" si="108"/>
        <v>2643595.28959385</v>
      </c>
      <c r="N87" s="372"/>
      <c r="O87" s="373">
        <f>$M$3*D87*H87</f>
        <v>186.2317965</v>
      </c>
      <c r="P87" s="374"/>
      <c r="Q87" s="374">
        <v>500</v>
      </c>
      <c r="R87" s="374"/>
      <c r="S87" s="374"/>
      <c r="T87" s="374"/>
      <c r="U87" s="374"/>
      <c r="V87" s="374">
        <v>0</v>
      </c>
      <c r="W87" s="374">
        <v>500</v>
      </c>
      <c r="X87" s="398">
        <f t="shared" si="102"/>
        <v>8800</v>
      </c>
      <c r="Y87" s="374"/>
      <c r="Z87" s="399"/>
      <c r="AA87" s="399"/>
      <c r="AB87" s="509">
        <f t="shared" si="91"/>
        <v>0</v>
      </c>
      <c r="AC87" s="400">
        <f t="shared" si="103"/>
        <v>1000</v>
      </c>
      <c r="AD87" s="401"/>
      <c r="AE87" s="377">
        <f t="shared" si="94"/>
        <v>138147.285714286</v>
      </c>
      <c r="AF87" s="422">
        <f t="shared" si="104"/>
        <v>551.20767</v>
      </c>
      <c r="AG87" s="423">
        <f t="shared" si="69"/>
        <v>448.79233</v>
      </c>
      <c r="AH87" s="516"/>
      <c r="AI87" s="424"/>
      <c r="AJ87" s="424">
        <f>$AJ$4*D87</f>
        <v>138147.285714286</v>
      </c>
      <c r="AK87" s="424"/>
      <c r="AL87" s="425"/>
      <c r="AM87" s="425"/>
      <c r="AN87" s="425"/>
      <c r="AO87" s="424">
        <f t="shared" ref="AO87:AO92" si="109">AG87/H87/D87</f>
        <v>2372850.5791877</v>
      </c>
    </row>
    <row r="88" customHeight="1" spans="1:41">
      <c r="A88" s="328"/>
      <c r="B88" s="337"/>
      <c r="C88" s="330"/>
      <c r="D88" s="330">
        <v>0.0474025974025974</v>
      </c>
      <c r="E88" s="355" t="s">
        <v>3074</v>
      </c>
      <c r="F88" s="337"/>
      <c r="G88" s="333"/>
      <c r="H88" s="334">
        <v>1</v>
      </c>
      <c r="I88" s="335"/>
      <c r="J88" s="380">
        <v>0.84</v>
      </c>
      <c r="K88" s="503" t="s">
        <v>3174</v>
      </c>
      <c r="L88" s="382"/>
      <c r="M88" s="382"/>
      <c r="N88" s="337"/>
      <c r="O88" s="383"/>
      <c r="P88" s="384"/>
      <c r="Q88" s="384">
        <v>14900.5324675325</v>
      </c>
      <c r="R88" s="384">
        <f>400000*D88</f>
        <v>18961.038961039</v>
      </c>
      <c r="S88" s="384">
        <f>300000*$D$88</f>
        <v>14220.7792207792</v>
      </c>
      <c r="T88" s="384">
        <f>500000*$D$88</f>
        <v>23701.2987012987</v>
      </c>
      <c r="U88" s="384">
        <f>400000*$D$88</f>
        <v>18961.038961039</v>
      </c>
      <c r="V88" s="384">
        <v>23701.2987012987</v>
      </c>
      <c r="W88" s="384">
        <v>23702</v>
      </c>
      <c r="X88" s="405">
        <f t="shared" si="102"/>
        <v>40389.1745454546</v>
      </c>
      <c r="Y88" s="384"/>
      <c r="Z88" s="406"/>
      <c r="AA88" s="406"/>
      <c r="AB88" s="513">
        <f t="shared" si="91"/>
        <v>0</v>
      </c>
      <c r="AC88" s="407">
        <f t="shared" si="103"/>
        <v>138147.987012987</v>
      </c>
      <c r="AD88" s="408"/>
      <c r="AE88" s="382">
        <f t="shared" si="94"/>
        <v>138147.285714286</v>
      </c>
      <c r="AF88" s="430">
        <f t="shared" si="104"/>
        <v>138147.285714286</v>
      </c>
      <c r="AG88" s="431">
        <f t="shared" si="69"/>
        <v>0.701298701314954</v>
      </c>
      <c r="AH88" s="518"/>
      <c r="AI88" s="432"/>
      <c r="AJ88" s="432"/>
      <c r="AK88" s="432"/>
      <c r="AL88" s="433"/>
      <c r="AM88" s="433"/>
      <c r="AN88" s="433"/>
      <c r="AO88" s="432"/>
    </row>
    <row r="89" customHeight="1" spans="1:41">
      <c r="A89" s="310"/>
      <c r="B89" s="372" t="s">
        <v>3186</v>
      </c>
      <c r="C89" s="312"/>
      <c r="D89" s="312">
        <v>0.0474025974025974</v>
      </c>
      <c r="E89" s="486" t="s">
        <v>3187</v>
      </c>
      <c r="F89" s="487" t="s">
        <v>3188</v>
      </c>
      <c r="G89" s="445">
        <v>500</v>
      </c>
      <c r="H89" s="316">
        <v>0.00567</v>
      </c>
      <c r="I89" s="317">
        <f t="shared" si="107"/>
        <v>88183.4215167549</v>
      </c>
      <c r="J89" s="369">
        <v>17.6</v>
      </c>
      <c r="K89" s="500" t="s">
        <v>3174</v>
      </c>
      <c r="L89" s="371"/>
      <c r="M89" s="371">
        <f t="shared" si="108"/>
        <v>1860307.79638086</v>
      </c>
      <c r="N89" s="372"/>
      <c r="O89" s="373">
        <f>$M$3*D89*H89</f>
        <v>264.6451845</v>
      </c>
      <c r="P89" s="374"/>
      <c r="Q89" s="374">
        <v>500</v>
      </c>
      <c r="R89" s="374"/>
      <c r="S89" s="374"/>
      <c r="T89" s="374"/>
      <c r="U89" s="374">
        <v>500</v>
      </c>
      <c r="V89" s="374">
        <v>0</v>
      </c>
      <c r="W89" s="374">
        <v>0</v>
      </c>
      <c r="X89" s="398">
        <f t="shared" si="102"/>
        <v>8800</v>
      </c>
      <c r="Y89" s="374"/>
      <c r="Z89" s="399"/>
      <c r="AA89" s="399"/>
      <c r="AB89" s="509">
        <f t="shared" si="91"/>
        <v>0</v>
      </c>
      <c r="AC89" s="400">
        <f t="shared" si="103"/>
        <v>1000</v>
      </c>
      <c r="AD89" s="401"/>
      <c r="AE89" s="377">
        <f t="shared" si="94"/>
        <v>138147.285714286</v>
      </c>
      <c r="AF89" s="422">
        <f t="shared" si="104"/>
        <v>783.29511</v>
      </c>
      <c r="AG89" s="423">
        <f t="shared" si="69"/>
        <v>216.70489</v>
      </c>
      <c r="AH89" s="516"/>
      <c r="AI89" s="424"/>
      <c r="AJ89" s="424">
        <f>$AJ$4*D89</f>
        <v>138147.285714286</v>
      </c>
      <c r="AK89" s="424"/>
      <c r="AL89" s="425"/>
      <c r="AM89" s="425"/>
      <c r="AN89" s="425"/>
      <c r="AO89" s="424">
        <f t="shared" si="109"/>
        <v>806275.592761712</v>
      </c>
    </row>
    <row r="90" customHeight="1" spans="1:41">
      <c r="A90" s="328"/>
      <c r="B90" s="337"/>
      <c r="C90" s="330"/>
      <c r="D90" s="330">
        <v>0.0474025974025974</v>
      </c>
      <c r="E90" s="355" t="s">
        <v>3074</v>
      </c>
      <c r="F90" s="337"/>
      <c r="G90" s="333"/>
      <c r="H90" s="334">
        <v>1</v>
      </c>
      <c r="I90" s="335"/>
      <c r="J90" s="380">
        <v>1.13</v>
      </c>
      <c r="K90" s="503" t="s">
        <v>3174</v>
      </c>
      <c r="L90" s="382"/>
      <c r="M90" s="382"/>
      <c r="N90" s="337"/>
      <c r="O90" s="383"/>
      <c r="P90" s="384"/>
      <c r="Q90" s="384">
        <v>14900.5324675325</v>
      </c>
      <c r="R90" s="384">
        <f>400000*D90</f>
        <v>18961.038961039</v>
      </c>
      <c r="S90" s="384">
        <f>300000*$D$90</f>
        <v>14220.7792207792</v>
      </c>
      <c r="T90" s="384">
        <f>500000*$D$90</f>
        <v>23701.2987012987</v>
      </c>
      <c r="U90" s="384">
        <f>400000*$D$90</f>
        <v>18961.038961039</v>
      </c>
      <c r="V90" s="384">
        <v>23701.2987012987</v>
      </c>
      <c r="W90" s="384">
        <v>23702</v>
      </c>
      <c r="X90" s="405">
        <f t="shared" si="102"/>
        <v>54333.0562337663</v>
      </c>
      <c r="Y90" s="384"/>
      <c r="Z90" s="406"/>
      <c r="AA90" s="406"/>
      <c r="AB90" s="513">
        <f t="shared" si="91"/>
        <v>0</v>
      </c>
      <c r="AC90" s="407">
        <f t="shared" si="103"/>
        <v>138147.987012987</v>
      </c>
      <c r="AD90" s="408"/>
      <c r="AE90" s="382">
        <f t="shared" si="94"/>
        <v>138147.285714286</v>
      </c>
      <c r="AF90" s="430">
        <f t="shared" si="104"/>
        <v>138147.285714286</v>
      </c>
      <c r="AG90" s="431">
        <f t="shared" si="69"/>
        <v>0.701298701314954</v>
      </c>
      <c r="AH90" s="518"/>
      <c r="AI90" s="432"/>
      <c r="AJ90" s="432"/>
      <c r="AK90" s="432"/>
      <c r="AL90" s="433"/>
      <c r="AM90" s="433"/>
      <c r="AN90" s="433"/>
      <c r="AO90" s="432"/>
    </row>
    <row r="91" ht="72.65" customHeight="1" spans="1:42">
      <c r="A91" s="344"/>
      <c r="B91" s="348" t="s">
        <v>3189</v>
      </c>
      <c r="C91" s="346"/>
      <c r="D91" s="346">
        <v>0.0474025974025974</v>
      </c>
      <c r="E91" s="355" t="s">
        <v>3074</v>
      </c>
      <c r="F91" s="348"/>
      <c r="G91" s="445">
        <v>20000</v>
      </c>
      <c r="H91" s="334">
        <v>1</v>
      </c>
      <c r="I91" s="317">
        <f t="shared" ref="I91:I93" si="110">G91/H91</f>
        <v>20000</v>
      </c>
      <c r="J91" s="386">
        <v>1.543</v>
      </c>
      <c r="K91" s="529" t="s">
        <v>3174</v>
      </c>
      <c r="L91" s="388"/>
      <c r="M91" s="388">
        <f t="shared" ref="M91:M93" si="111">G91/H91/D91</f>
        <v>421917.808219178</v>
      </c>
      <c r="N91" s="451" t="s">
        <v>3190</v>
      </c>
      <c r="O91" s="389">
        <f>$M$3*D91*H91</f>
        <v>46674.6357142857</v>
      </c>
      <c r="P91" s="390"/>
      <c r="Q91" s="390"/>
      <c r="R91" s="390">
        <v>33862</v>
      </c>
      <c r="S91" s="384">
        <f>300000*$D$91</f>
        <v>14220.7792207792</v>
      </c>
      <c r="T91" s="384">
        <f>500000*$D$91</f>
        <v>23701.2987012987</v>
      </c>
      <c r="U91" s="384">
        <f>400000*$D$91</f>
        <v>18961.038961039</v>
      </c>
      <c r="V91" s="384">
        <v>23701.2987012987</v>
      </c>
      <c r="W91" s="384">
        <v>23702</v>
      </c>
      <c r="X91" s="405">
        <f t="shared" si="102"/>
        <v>74191.7283376623</v>
      </c>
      <c r="Y91" s="535"/>
      <c r="Z91" s="413"/>
      <c r="AA91" s="413"/>
      <c r="AB91" s="536">
        <f t="shared" si="91"/>
        <v>0</v>
      </c>
      <c r="AC91" s="464">
        <f t="shared" si="103"/>
        <v>138148.415584416</v>
      </c>
      <c r="AD91" s="414"/>
      <c r="AE91" s="382">
        <f t="shared" si="94"/>
        <v>138147.285714286</v>
      </c>
      <c r="AF91" s="434">
        <f t="shared" si="104"/>
        <v>138147.285714286</v>
      </c>
      <c r="AG91" s="435">
        <f t="shared" si="69"/>
        <v>1.12987012986559</v>
      </c>
      <c r="AH91" s="538"/>
      <c r="AI91" s="436"/>
      <c r="AJ91" s="436">
        <f>$AJ$4*D91</f>
        <v>138147.285714286</v>
      </c>
      <c r="AK91" s="436"/>
      <c r="AL91" s="437"/>
      <c r="AM91" s="437"/>
      <c r="AN91" s="437"/>
      <c r="AO91" s="436"/>
      <c r="AP91" s="295" t="s">
        <v>3191</v>
      </c>
    </row>
    <row r="92" customHeight="1" spans="1:41">
      <c r="A92" s="310"/>
      <c r="B92" s="372" t="s">
        <v>3192</v>
      </c>
      <c r="C92" s="312"/>
      <c r="D92" s="312">
        <v>0.0474025974025974</v>
      </c>
      <c r="E92" s="487" t="s">
        <v>3193</v>
      </c>
      <c r="F92" s="487" t="s">
        <v>3194</v>
      </c>
      <c r="G92" s="445">
        <v>2500</v>
      </c>
      <c r="H92" s="316">
        <v>0.0126</v>
      </c>
      <c r="I92" s="317">
        <f t="shared" si="110"/>
        <v>198412.698412698</v>
      </c>
      <c r="J92" s="369">
        <v>25.3</v>
      </c>
      <c r="K92" s="500" t="s">
        <v>3174</v>
      </c>
      <c r="L92" s="371"/>
      <c r="M92" s="371">
        <f t="shared" si="111"/>
        <v>4185692.54185693</v>
      </c>
      <c r="N92" s="372" t="s">
        <v>3195</v>
      </c>
      <c r="O92" s="373">
        <f>$M$3*D92*H92</f>
        <v>588.10041</v>
      </c>
      <c r="P92" s="374"/>
      <c r="Q92" s="374"/>
      <c r="R92" s="374"/>
      <c r="S92" s="374"/>
      <c r="T92" s="374">
        <f>2500-1000</f>
        <v>1500</v>
      </c>
      <c r="U92" s="374"/>
      <c r="V92" s="374">
        <v>0</v>
      </c>
      <c r="W92" s="374">
        <v>0</v>
      </c>
      <c r="X92" s="398">
        <f t="shared" si="102"/>
        <v>0</v>
      </c>
      <c r="Y92" s="374">
        <v>1799</v>
      </c>
      <c r="Z92" s="399"/>
      <c r="AA92" s="399">
        <f>(H92*D92)/(H92*D92+D22*H22+D6*H6)/2</f>
        <v>0.254656097986395</v>
      </c>
      <c r="AB92" s="509">
        <f t="shared" si="91"/>
        <v>458.126320277525</v>
      </c>
      <c r="AC92" s="400">
        <f t="shared" si="103"/>
        <v>1958.12632027752</v>
      </c>
      <c r="AD92" s="401">
        <f>AC92/H92</f>
        <v>155406.850815677</v>
      </c>
      <c r="AE92" s="377">
        <f t="shared" si="94"/>
        <v>138147.285714286</v>
      </c>
      <c r="AF92" s="422">
        <f t="shared" si="104"/>
        <v>1740.6558</v>
      </c>
      <c r="AG92" s="423">
        <f t="shared" si="69"/>
        <v>179.951188507529</v>
      </c>
      <c r="AH92" s="516">
        <f>[2]S2新Ratio布料!AB15*AA92</f>
        <v>37.5193317699955</v>
      </c>
      <c r="AI92" s="424"/>
      <c r="AJ92" s="424">
        <f>$AJ$4*D92</f>
        <v>138147.285714286</v>
      </c>
      <c r="AK92" s="424"/>
      <c r="AL92" s="425"/>
      <c r="AM92" s="425"/>
      <c r="AN92" s="425"/>
      <c r="AO92" s="424">
        <f t="shared" si="109"/>
        <v>301288.139053702</v>
      </c>
    </row>
    <row r="93" customHeight="1" spans="1:41">
      <c r="A93" s="318"/>
      <c r="B93" s="339"/>
      <c r="C93" s="320"/>
      <c r="D93" s="320">
        <v>0.0474025974025974</v>
      </c>
      <c r="E93" s="490" t="s">
        <v>3196</v>
      </c>
      <c r="F93" s="339" t="s">
        <v>3197</v>
      </c>
      <c r="G93" s="323">
        <v>1000</v>
      </c>
      <c r="H93" s="324">
        <v>0.00294</v>
      </c>
      <c r="I93" s="325">
        <f t="shared" si="110"/>
        <v>340136.054421769</v>
      </c>
      <c r="J93" s="375">
        <v>16.72</v>
      </c>
      <c r="K93" s="501" t="s">
        <v>3174</v>
      </c>
      <c r="L93" s="377"/>
      <c r="M93" s="377">
        <f t="shared" si="111"/>
        <v>7175472.92889759</v>
      </c>
      <c r="N93" s="339" t="s">
        <v>3195</v>
      </c>
      <c r="O93" s="378">
        <f>$M$3*D93*H93</f>
        <v>137.223429</v>
      </c>
      <c r="P93" s="379"/>
      <c r="Q93" s="379"/>
      <c r="R93" s="379"/>
      <c r="S93" s="379"/>
      <c r="T93" s="379"/>
      <c r="U93" s="379"/>
      <c r="V93" s="379">
        <v>0</v>
      </c>
      <c r="W93" s="379">
        <v>400</v>
      </c>
      <c r="X93" s="398">
        <f t="shared" si="102"/>
        <v>0</v>
      </c>
      <c r="Y93" s="379">
        <v>1298</v>
      </c>
      <c r="Z93" s="402"/>
      <c r="AA93" s="402">
        <f>(H93*D93)/(H93*D93+H23*D23+D7*H7)/2+5%+3%</f>
        <v>0.239662552726136</v>
      </c>
      <c r="AB93" s="511">
        <f t="shared" si="91"/>
        <v>311.081993438525</v>
      </c>
      <c r="AC93" s="403">
        <f t="shared" si="103"/>
        <v>711.081993438525</v>
      </c>
      <c r="AD93" s="404">
        <f>AC93/H93</f>
        <v>241864.623618546</v>
      </c>
      <c r="AE93" s="377">
        <f t="shared" si="94"/>
        <v>138147.285714286</v>
      </c>
      <c r="AF93" s="426">
        <f t="shared" si="104"/>
        <v>406.15302</v>
      </c>
      <c r="AG93" s="427">
        <f t="shared" si="69"/>
        <v>281.845075797532</v>
      </c>
      <c r="AH93" s="517">
        <f>([2]S2新Ratio布料!AB16+[2]S2新Ratio布料!AB59+[2]S2新Ratio布料!AB77)*AA93</f>
        <v>23.0838976409936</v>
      </c>
      <c r="AI93" s="428"/>
      <c r="AJ93" s="428"/>
      <c r="AK93" s="428"/>
      <c r="AL93" s="429"/>
      <c r="AM93" s="429"/>
      <c r="AN93" s="429"/>
      <c r="AO93" s="428"/>
    </row>
    <row r="94" customHeight="1" spans="1:41">
      <c r="A94" s="328"/>
      <c r="B94" s="337"/>
      <c r="C94" s="330"/>
      <c r="D94" s="330">
        <v>0.0474025974025974</v>
      </c>
      <c r="E94" s="355" t="s">
        <v>3198</v>
      </c>
      <c r="F94" s="337"/>
      <c r="G94" s="333"/>
      <c r="H94" s="334">
        <v>1</v>
      </c>
      <c r="I94" s="335"/>
      <c r="J94" s="380">
        <v>0.706</v>
      </c>
      <c r="K94" s="503" t="s">
        <v>3174</v>
      </c>
      <c r="L94" s="382"/>
      <c r="M94" s="382"/>
      <c r="N94" s="337"/>
      <c r="O94" s="383"/>
      <c r="P94" s="384"/>
      <c r="Q94" s="384">
        <v>14900.5324675325</v>
      </c>
      <c r="R94" s="384">
        <f t="shared" ref="R94:R98" si="112">400000*D94</f>
        <v>18961.038961039</v>
      </c>
      <c r="S94" s="384">
        <f>300000*$D$94</f>
        <v>14220.7792207792</v>
      </c>
      <c r="T94" s="384">
        <f>500000*$D$94</f>
        <v>23701.2987012987</v>
      </c>
      <c r="U94" s="384">
        <f>400000*$D$94</f>
        <v>18961.038961039</v>
      </c>
      <c r="V94" s="384">
        <v>23701.2987012987</v>
      </c>
      <c r="W94" s="384">
        <v>23702</v>
      </c>
      <c r="X94" s="405">
        <f t="shared" si="102"/>
        <v>33946.1395584416</v>
      </c>
      <c r="Y94" s="384"/>
      <c r="Z94" s="406"/>
      <c r="AA94" s="406"/>
      <c r="AB94" s="513">
        <f t="shared" si="91"/>
        <v>0</v>
      </c>
      <c r="AC94" s="407">
        <f t="shared" si="103"/>
        <v>138147.987012987</v>
      </c>
      <c r="AD94" s="408"/>
      <c r="AE94" s="382">
        <f t="shared" si="94"/>
        <v>138147.285714286</v>
      </c>
      <c r="AF94" s="430">
        <f t="shared" si="104"/>
        <v>138147.285714286</v>
      </c>
      <c r="AG94" s="431">
        <f t="shared" si="69"/>
        <v>0.701298701314954</v>
      </c>
      <c r="AH94" s="518"/>
      <c r="AI94" s="432"/>
      <c r="AJ94" s="432"/>
      <c r="AK94" s="432"/>
      <c r="AL94" s="433"/>
      <c r="AM94" s="433"/>
      <c r="AN94" s="433"/>
      <c r="AO94" s="432"/>
    </row>
    <row r="95" customHeight="1" spans="1:41">
      <c r="A95" s="310"/>
      <c r="B95" s="372" t="s">
        <v>3199</v>
      </c>
      <c r="C95" s="312"/>
      <c r="D95" s="312">
        <v>0.0474025974025974</v>
      </c>
      <c r="E95" s="486" t="s">
        <v>3200</v>
      </c>
      <c r="F95" s="487" t="s">
        <v>3201</v>
      </c>
      <c r="G95" s="445">
        <v>500</v>
      </c>
      <c r="H95" s="316">
        <v>0.007875</v>
      </c>
      <c r="I95" s="317">
        <f t="shared" ref="I95:I99" si="113">G95/H95</f>
        <v>63492.0634920635</v>
      </c>
      <c r="J95" s="369">
        <v>17.6</v>
      </c>
      <c r="K95" s="500" t="s">
        <v>3174</v>
      </c>
      <c r="L95" s="371"/>
      <c r="M95" s="371">
        <f t="shared" ref="M95:M99" si="114">G95/H95/D95</f>
        <v>1339421.61339422</v>
      </c>
      <c r="N95" s="372"/>
      <c r="O95" s="373">
        <f>$M$3*D95*H95</f>
        <v>367.56275625</v>
      </c>
      <c r="P95" s="374"/>
      <c r="Q95" s="374">
        <v>500</v>
      </c>
      <c r="R95" s="374"/>
      <c r="S95" s="374"/>
      <c r="T95" s="374">
        <f>500-300</f>
        <v>200</v>
      </c>
      <c r="U95" s="374">
        <v>100</v>
      </c>
      <c r="V95" s="374">
        <v>200</v>
      </c>
      <c r="W95" s="374">
        <v>150</v>
      </c>
      <c r="X95" s="398">
        <f t="shared" si="102"/>
        <v>8800</v>
      </c>
      <c r="Y95" s="374"/>
      <c r="Z95" s="399"/>
      <c r="AA95" s="399">
        <f>(H95*D95)/(D95*H95+D99*H99)</f>
        <v>0.323275862068966</v>
      </c>
      <c r="AB95" s="509">
        <f t="shared" si="91"/>
        <v>0</v>
      </c>
      <c r="AC95" s="400">
        <f t="shared" si="103"/>
        <v>1150</v>
      </c>
      <c r="AD95" s="401"/>
      <c r="AE95" s="377">
        <f t="shared" si="94"/>
        <v>138147.285714286</v>
      </c>
      <c r="AF95" s="422">
        <f t="shared" si="104"/>
        <v>1087.909875</v>
      </c>
      <c r="AG95" s="423">
        <f t="shared" si="69"/>
        <v>62.0901249999999</v>
      </c>
      <c r="AH95" s="516"/>
      <c r="AI95" s="424"/>
      <c r="AJ95" s="424">
        <f>$AJ$4*D95</f>
        <v>138147.285714286</v>
      </c>
      <c r="AK95" s="424"/>
      <c r="AL95" s="425"/>
      <c r="AM95" s="425"/>
      <c r="AN95" s="425"/>
      <c r="AO95" s="424">
        <f t="shared" ref="AO95:AO99" si="115">AG95/H95/D95</f>
        <v>166329.710806697</v>
      </c>
    </row>
    <row r="96" customHeight="1" spans="1:41">
      <c r="A96" s="328"/>
      <c r="B96" s="337"/>
      <c r="C96" s="330"/>
      <c r="D96" s="330">
        <v>0.0474025974025974</v>
      </c>
      <c r="E96" s="355" t="s">
        <v>3198</v>
      </c>
      <c r="F96" s="337"/>
      <c r="G96" s="333"/>
      <c r="H96" s="334">
        <v>1</v>
      </c>
      <c r="I96" s="335"/>
      <c r="J96" s="380">
        <v>1.3</v>
      </c>
      <c r="K96" s="503" t="s">
        <v>3174</v>
      </c>
      <c r="L96" s="382"/>
      <c r="M96" s="382"/>
      <c r="N96" s="337"/>
      <c r="O96" s="383"/>
      <c r="P96" s="384"/>
      <c r="Q96" s="384">
        <v>14900.5324675325</v>
      </c>
      <c r="R96" s="384">
        <f t="shared" si="112"/>
        <v>18961.038961039</v>
      </c>
      <c r="S96" s="384">
        <f>300000*$D$96</f>
        <v>14220.7792207792</v>
      </c>
      <c r="T96" s="384">
        <f>500000*$D$96</f>
        <v>23701.2987012987</v>
      </c>
      <c r="U96" s="384">
        <f>400000*$D$96</f>
        <v>18961.038961039</v>
      </c>
      <c r="V96" s="384">
        <v>23701.2987012987</v>
      </c>
      <c r="W96" s="384">
        <v>23702</v>
      </c>
      <c r="X96" s="405">
        <f t="shared" si="102"/>
        <v>62507.0558441559</v>
      </c>
      <c r="Y96" s="384"/>
      <c r="Z96" s="406"/>
      <c r="AA96" s="406"/>
      <c r="AB96" s="513">
        <f t="shared" si="91"/>
        <v>0</v>
      </c>
      <c r="AC96" s="407">
        <f t="shared" si="103"/>
        <v>138147.987012987</v>
      </c>
      <c r="AD96" s="408"/>
      <c r="AE96" s="382">
        <f t="shared" si="94"/>
        <v>138147.285714286</v>
      </c>
      <c r="AF96" s="430">
        <f t="shared" si="104"/>
        <v>138147.285714286</v>
      </c>
      <c r="AG96" s="431">
        <f t="shared" si="69"/>
        <v>0.701298701314954</v>
      </c>
      <c r="AH96" s="518"/>
      <c r="AI96" s="432"/>
      <c r="AJ96" s="432"/>
      <c r="AK96" s="432"/>
      <c r="AL96" s="433"/>
      <c r="AM96" s="433"/>
      <c r="AN96" s="433"/>
      <c r="AO96" s="432"/>
    </row>
    <row r="97" customHeight="1" spans="1:41">
      <c r="A97" s="310"/>
      <c r="B97" s="372" t="s">
        <v>3202</v>
      </c>
      <c r="C97" s="312"/>
      <c r="D97" s="312">
        <v>0.0474025974025974</v>
      </c>
      <c r="E97" s="486" t="s">
        <v>3203</v>
      </c>
      <c r="F97" s="487" t="s">
        <v>3204</v>
      </c>
      <c r="G97" s="445">
        <v>500</v>
      </c>
      <c r="H97" s="316">
        <v>0.006615</v>
      </c>
      <c r="I97" s="317">
        <f t="shared" si="113"/>
        <v>75585.7898715042</v>
      </c>
      <c r="J97" s="369">
        <v>17.6</v>
      </c>
      <c r="K97" s="500" t="s">
        <v>3174</v>
      </c>
      <c r="L97" s="371"/>
      <c r="M97" s="371">
        <f t="shared" si="114"/>
        <v>1594549.53975502</v>
      </c>
      <c r="N97" s="372"/>
      <c r="O97" s="373">
        <f>$M$3*D97*H97</f>
        <v>308.75271525</v>
      </c>
      <c r="P97" s="374"/>
      <c r="Q97" s="374">
        <v>500</v>
      </c>
      <c r="R97" s="374"/>
      <c r="S97" s="374"/>
      <c r="T97" s="374"/>
      <c r="U97" s="374">
        <v>500</v>
      </c>
      <c r="V97" s="374">
        <v>0</v>
      </c>
      <c r="W97" s="374">
        <v>0</v>
      </c>
      <c r="X97" s="398">
        <f t="shared" si="102"/>
        <v>8800</v>
      </c>
      <c r="Y97" s="374"/>
      <c r="Z97" s="399"/>
      <c r="AA97" s="399"/>
      <c r="AB97" s="509">
        <f t="shared" si="91"/>
        <v>0</v>
      </c>
      <c r="AC97" s="400">
        <f t="shared" si="103"/>
        <v>1000</v>
      </c>
      <c r="AD97" s="401"/>
      <c r="AE97" s="377">
        <f t="shared" si="94"/>
        <v>138147.285714286</v>
      </c>
      <c r="AF97" s="422">
        <f t="shared" si="104"/>
        <v>913.844295</v>
      </c>
      <c r="AG97" s="423">
        <f t="shared" si="69"/>
        <v>86.155705</v>
      </c>
      <c r="AH97" s="516"/>
      <c r="AI97" s="424"/>
      <c r="AJ97" s="424">
        <f>$AJ$4*D97</f>
        <v>138147.285714286</v>
      </c>
      <c r="AK97" s="424"/>
      <c r="AL97" s="425"/>
      <c r="AM97" s="425"/>
      <c r="AN97" s="425"/>
      <c r="AO97" s="424">
        <f t="shared" si="115"/>
        <v>274759.079510038</v>
      </c>
    </row>
    <row r="98" customHeight="1" spans="1:41">
      <c r="A98" s="328"/>
      <c r="B98" s="337"/>
      <c r="C98" s="330"/>
      <c r="D98" s="330">
        <v>0.0474025974025974</v>
      </c>
      <c r="E98" s="355" t="s">
        <v>3198</v>
      </c>
      <c r="F98" s="337"/>
      <c r="G98" s="333"/>
      <c r="H98" s="334">
        <v>1</v>
      </c>
      <c r="I98" s="335"/>
      <c r="J98" s="380">
        <v>0.4456</v>
      </c>
      <c r="K98" s="503" t="s">
        <v>3174</v>
      </c>
      <c r="L98" s="382"/>
      <c r="M98" s="382"/>
      <c r="N98" s="337"/>
      <c r="O98" s="383"/>
      <c r="P98" s="384"/>
      <c r="Q98" s="384">
        <v>14900.5324675325</v>
      </c>
      <c r="R98" s="384">
        <f t="shared" si="112"/>
        <v>18961.038961039</v>
      </c>
      <c r="S98" s="384">
        <f>300000*$D$98</f>
        <v>14220.7792207792</v>
      </c>
      <c r="T98" s="384">
        <f>500000*$D$98</f>
        <v>23701.2987012987</v>
      </c>
      <c r="U98" s="384">
        <f>400000*$D$98</f>
        <v>18961.038961039</v>
      </c>
      <c r="V98" s="384">
        <v>23701.2987012987</v>
      </c>
      <c r="W98" s="384">
        <v>23702</v>
      </c>
      <c r="X98" s="405">
        <f t="shared" si="102"/>
        <v>21425.4954493507</v>
      </c>
      <c r="Y98" s="384"/>
      <c r="Z98" s="406"/>
      <c r="AA98" s="406"/>
      <c r="AB98" s="513">
        <f t="shared" si="91"/>
        <v>0</v>
      </c>
      <c r="AC98" s="407">
        <f t="shared" si="103"/>
        <v>138147.987012987</v>
      </c>
      <c r="AD98" s="408"/>
      <c r="AE98" s="382">
        <f t="shared" si="94"/>
        <v>138147.285714286</v>
      </c>
      <c r="AF98" s="430">
        <f t="shared" si="104"/>
        <v>138147.285714286</v>
      </c>
      <c r="AG98" s="431">
        <f t="shared" si="69"/>
        <v>0.701298701314954</v>
      </c>
      <c r="AH98" s="518"/>
      <c r="AI98" s="432"/>
      <c r="AJ98" s="432"/>
      <c r="AK98" s="432"/>
      <c r="AL98" s="433"/>
      <c r="AM98" s="433"/>
      <c r="AN98" s="433"/>
      <c r="AO98" s="432"/>
    </row>
    <row r="99" customHeight="1" spans="1:41">
      <c r="A99" s="310"/>
      <c r="B99" s="372" t="s">
        <v>3205</v>
      </c>
      <c r="C99" s="312"/>
      <c r="D99" s="312">
        <v>0.0474025974025974</v>
      </c>
      <c r="E99" s="486" t="s">
        <v>3200</v>
      </c>
      <c r="F99" s="487" t="s">
        <v>3206</v>
      </c>
      <c r="G99" s="445">
        <v>500</v>
      </c>
      <c r="H99" s="316">
        <v>0.016485</v>
      </c>
      <c r="I99" s="317">
        <f t="shared" si="113"/>
        <v>30330.6035790112</v>
      </c>
      <c r="J99" s="369">
        <v>17.6</v>
      </c>
      <c r="K99" s="500" t="s">
        <v>3174</v>
      </c>
      <c r="L99" s="371"/>
      <c r="M99" s="371">
        <f t="shared" si="114"/>
        <v>639851.089201059</v>
      </c>
      <c r="N99" s="372"/>
      <c r="O99" s="373">
        <f>$M$3*D99*H99</f>
        <v>769.43136975</v>
      </c>
      <c r="P99" s="374"/>
      <c r="Q99" s="374">
        <v>500</v>
      </c>
      <c r="R99" s="374">
        <v>500</v>
      </c>
      <c r="S99" s="374"/>
      <c r="T99" s="374">
        <v>300</v>
      </c>
      <c r="U99" s="374">
        <f>500-100</f>
        <v>400</v>
      </c>
      <c r="V99" s="374">
        <v>300</v>
      </c>
      <c r="W99" s="374">
        <v>350</v>
      </c>
      <c r="X99" s="398">
        <f t="shared" si="102"/>
        <v>17600</v>
      </c>
      <c r="Y99" s="374"/>
      <c r="Z99" s="399"/>
      <c r="AA99" s="399">
        <f>(H99*D99)/(D99*H99+H95*D95)</f>
        <v>0.676724137931034</v>
      </c>
      <c r="AB99" s="509">
        <f t="shared" si="91"/>
        <v>0</v>
      </c>
      <c r="AC99" s="400">
        <f t="shared" si="103"/>
        <v>2350</v>
      </c>
      <c r="AD99" s="401"/>
      <c r="AE99" s="377">
        <f t="shared" si="94"/>
        <v>138147.285714286</v>
      </c>
      <c r="AF99" s="422">
        <f t="shared" si="104"/>
        <v>2277.358005</v>
      </c>
      <c r="AG99" s="423">
        <f t="shared" si="69"/>
        <v>72.641995</v>
      </c>
      <c r="AH99" s="516"/>
      <c r="AI99" s="424"/>
      <c r="AJ99" s="424">
        <f>$AJ$4*D99</f>
        <v>138147.285714286</v>
      </c>
      <c r="AK99" s="424"/>
      <c r="AL99" s="425"/>
      <c r="AM99" s="425"/>
      <c r="AN99" s="425"/>
      <c r="AO99" s="424">
        <f t="shared" si="115"/>
        <v>92960.1192449757</v>
      </c>
    </row>
    <row r="100" customHeight="1" spans="1:41">
      <c r="A100" s="328"/>
      <c r="B100" s="337"/>
      <c r="C100" s="330"/>
      <c r="D100" s="330">
        <v>0.0474025974025974</v>
      </c>
      <c r="E100" s="355" t="s">
        <v>3198</v>
      </c>
      <c r="F100" s="337"/>
      <c r="G100" s="333"/>
      <c r="H100" s="334">
        <v>1</v>
      </c>
      <c r="I100" s="335"/>
      <c r="J100" s="380">
        <v>0.524</v>
      </c>
      <c r="K100" s="503" t="s">
        <v>3174</v>
      </c>
      <c r="L100" s="382"/>
      <c r="M100" s="382"/>
      <c r="N100" s="337"/>
      <c r="O100" s="383"/>
      <c r="P100" s="384"/>
      <c r="Q100" s="384">
        <v>14900.5324675325</v>
      </c>
      <c r="R100" s="384">
        <f t="shared" ref="R100:R104" si="116">400000*D100</f>
        <v>18961.038961039</v>
      </c>
      <c r="S100" s="384">
        <f>300000*D100</f>
        <v>14220.7792207792</v>
      </c>
      <c r="T100" s="384">
        <f>500000*$D$100</f>
        <v>23701.2987012987</v>
      </c>
      <c r="U100" s="384">
        <f>400000*$D$100</f>
        <v>18961.038961039</v>
      </c>
      <c r="V100" s="384">
        <v>23701.2987012987</v>
      </c>
      <c r="W100" s="384">
        <v>23702</v>
      </c>
      <c r="X100" s="405">
        <f t="shared" si="102"/>
        <v>25195.1517402598</v>
      </c>
      <c r="Y100" s="384"/>
      <c r="Z100" s="406"/>
      <c r="AA100" s="406"/>
      <c r="AB100" s="513">
        <f t="shared" si="91"/>
        <v>0</v>
      </c>
      <c r="AC100" s="407">
        <f t="shared" si="103"/>
        <v>138147.987012987</v>
      </c>
      <c r="AD100" s="408"/>
      <c r="AE100" s="382">
        <f t="shared" si="94"/>
        <v>138147.285714286</v>
      </c>
      <c r="AF100" s="430">
        <f t="shared" si="104"/>
        <v>138147.285714286</v>
      </c>
      <c r="AG100" s="431">
        <f t="shared" si="69"/>
        <v>0.701298701314954</v>
      </c>
      <c r="AH100" s="518"/>
      <c r="AI100" s="432"/>
      <c r="AJ100" s="432"/>
      <c r="AK100" s="432"/>
      <c r="AL100" s="433"/>
      <c r="AM100" s="433"/>
      <c r="AN100" s="433"/>
      <c r="AO100" s="432"/>
    </row>
    <row r="101" customHeight="1" spans="1:41">
      <c r="A101" s="310"/>
      <c r="B101" s="372" t="s">
        <v>3207</v>
      </c>
      <c r="C101" s="312"/>
      <c r="D101" s="312">
        <v>0.0474025974025974</v>
      </c>
      <c r="E101" s="486" t="s">
        <v>3208</v>
      </c>
      <c r="F101" s="487" t="s">
        <v>3194</v>
      </c>
      <c r="G101" s="445">
        <v>500</v>
      </c>
      <c r="H101" s="316">
        <v>0.02226</v>
      </c>
      <c r="I101" s="317">
        <f>G101/H101</f>
        <v>22461.8149146451</v>
      </c>
      <c r="J101" s="369">
        <v>17.6</v>
      </c>
      <c r="K101" s="500" t="s">
        <v>3174</v>
      </c>
      <c r="L101" s="371"/>
      <c r="M101" s="371">
        <f>G101/H101/D101</f>
        <v>473851.985870595</v>
      </c>
      <c r="N101" s="372"/>
      <c r="O101" s="373">
        <f>$M$3*D101*H101</f>
        <v>1038.977391</v>
      </c>
      <c r="P101" s="374"/>
      <c r="Q101" s="374">
        <v>500</v>
      </c>
      <c r="R101" s="374">
        <v>500</v>
      </c>
      <c r="S101" s="374">
        <v>500</v>
      </c>
      <c r="T101" s="374">
        <v>500</v>
      </c>
      <c r="U101" s="374">
        <v>500</v>
      </c>
      <c r="V101" s="374">
        <v>500</v>
      </c>
      <c r="W101" s="374">
        <v>500</v>
      </c>
      <c r="X101" s="398">
        <f t="shared" si="102"/>
        <v>26400</v>
      </c>
      <c r="Y101" s="374"/>
      <c r="Z101" s="399"/>
      <c r="AA101" s="399"/>
      <c r="AB101" s="509">
        <f t="shared" si="91"/>
        <v>0</v>
      </c>
      <c r="AC101" s="400">
        <f t="shared" si="103"/>
        <v>3500</v>
      </c>
      <c r="AD101" s="401"/>
      <c r="AE101" s="377">
        <f t="shared" si="94"/>
        <v>138147.285714286</v>
      </c>
      <c r="AF101" s="422">
        <f t="shared" si="104"/>
        <v>3075.15858</v>
      </c>
      <c r="AG101" s="423">
        <f t="shared" si="69"/>
        <v>424.84142</v>
      </c>
      <c r="AH101" s="516"/>
      <c r="AI101" s="424"/>
      <c r="AJ101" s="424">
        <f>$AJ$4*D101</f>
        <v>138147.285714286</v>
      </c>
      <c r="AK101" s="424"/>
      <c r="AL101" s="425"/>
      <c r="AM101" s="425"/>
      <c r="AN101" s="425"/>
      <c r="AO101" s="424">
        <f>AG101/H101/D101</f>
        <v>402623.901094168</v>
      </c>
    </row>
    <row r="102" customHeight="1" spans="1:41">
      <c r="A102" s="328"/>
      <c r="B102" s="337"/>
      <c r="C102" s="330"/>
      <c r="D102" s="330">
        <v>0.0474025974025974</v>
      </c>
      <c r="E102" s="355" t="s">
        <v>3198</v>
      </c>
      <c r="F102" s="337"/>
      <c r="G102" s="333"/>
      <c r="H102" s="334">
        <v>1</v>
      </c>
      <c r="I102" s="335"/>
      <c r="J102" s="380">
        <v>0.826</v>
      </c>
      <c r="K102" s="503" t="s">
        <v>3174</v>
      </c>
      <c r="L102" s="382"/>
      <c r="M102" s="382"/>
      <c r="N102" s="337"/>
      <c r="O102" s="383"/>
      <c r="P102" s="384"/>
      <c r="Q102" s="384">
        <v>14900.5324675325</v>
      </c>
      <c r="R102" s="384">
        <f t="shared" si="116"/>
        <v>18961.038961039</v>
      </c>
      <c r="S102" s="384">
        <f>300000*$D$102</f>
        <v>14220.7792207792</v>
      </c>
      <c r="T102" s="384">
        <f>500000*$D$102</f>
        <v>23701.2987012987</v>
      </c>
      <c r="U102" s="384">
        <f>400000*$D$102</f>
        <v>18961.038961039</v>
      </c>
      <c r="V102" s="384">
        <v>23701.2987012987</v>
      </c>
      <c r="W102" s="384">
        <v>23702</v>
      </c>
      <c r="X102" s="405">
        <f t="shared" si="102"/>
        <v>39716.0216363637</v>
      </c>
      <c r="Y102" s="384"/>
      <c r="Z102" s="406"/>
      <c r="AA102" s="406"/>
      <c r="AB102" s="513">
        <f t="shared" si="91"/>
        <v>0</v>
      </c>
      <c r="AC102" s="407">
        <f t="shared" si="103"/>
        <v>138147.987012987</v>
      </c>
      <c r="AD102" s="408"/>
      <c r="AE102" s="382">
        <f t="shared" si="94"/>
        <v>138147.285714286</v>
      </c>
      <c r="AF102" s="430">
        <f t="shared" si="104"/>
        <v>138147.285714286</v>
      </c>
      <c r="AG102" s="431">
        <f t="shared" si="69"/>
        <v>0.701298701314954</v>
      </c>
      <c r="AH102" s="518"/>
      <c r="AI102" s="432"/>
      <c r="AJ102" s="432"/>
      <c r="AK102" s="432"/>
      <c r="AL102" s="433"/>
      <c r="AM102" s="433"/>
      <c r="AN102" s="433"/>
      <c r="AO102" s="432"/>
    </row>
    <row r="103" customHeight="1" spans="1:41">
      <c r="A103" s="310"/>
      <c r="B103" s="372" t="s">
        <v>3209</v>
      </c>
      <c r="C103" s="312"/>
      <c r="D103" s="312">
        <v>0.00454545454545455</v>
      </c>
      <c r="E103" s="486" t="s">
        <v>3210</v>
      </c>
      <c r="F103" s="487" t="s">
        <v>3185</v>
      </c>
      <c r="G103" s="528">
        <v>500</v>
      </c>
      <c r="H103" s="316">
        <v>0.003255</v>
      </c>
      <c r="I103" s="317"/>
      <c r="J103" s="369">
        <v>28.8</v>
      </c>
      <c r="K103" s="500" t="s">
        <v>3174</v>
      </c>
      <c r="L103" s="371"/>
      <c r="M103" s="371">
        <f>G103/H103/D103</f>
        <v>33794162.8264209</v>
      </c>
      <c r="N103" s="531" t="s">
        <v>3211</v>
      </c>
      <c r="O103" s="373">
        <f>$M$3*D103*H103</f>
        <v>14.56824075</v>
      </c>
      <c r="P103" s="374"/>
      <c r="Q103" s="374"/>
      <c r="R103" s="374">
        <v>500</v>
      </c>
      <c r="S103" s="374"/>
      <c r="T103" s="374"/>
      <c r="U103" s="374"/>
      <c r="V103" s="374">
        <v>0</v>
      </c>
      <c r="W103" s="374">
        <v>0</v>
      </c>
      <c r="X103" s="398">
        <f t="shared" si="102"/>
        <v>14400</v>
      </c>
      <c r="Y103" s="374"/>
      <c r="Z103" s="399"/>
      <c r="AA103" s="399"/>
      <c r="AB103" s="509">
        <f t="shared" si="91"/>
        <v>0</v>
      </c>
      <c r="AC103" s="400">
        <f t="shared" si="103"/>
        <v>500</v>
      </c>
      <c r="AD103" s="401"/>
      <c r="AE103" s="377">
        <f t="shared" si="94"/>
        <v>13247</v>
      </c>
      <c r="AF103" s="422">
        <f t="shared" si="104"/>
        <v>43.118985</v>
      </c>
      <c r="AG103" s="423">
        <f t="shared" si="69"/>
        <v>456.881015</v>
      </c>
      <c r="AH103" s="516"/>
      <c r="AI103" s="424"/>
      <c r="AJ103" s="424">
        <f>$AJ$4*D103</f>
        <v>13247</v>
      </c>
      <c r="AK103" s="424"/>
      <c r="AL103" s="425"/>
      <c r="AM103" s="425"/>
      <c r="AN103" s="425"/>
      <c r="AO103" s="424">
        <f>AG103/H103/D103</f>
        <v>30879822.8264209</v>
      </c>
    </row>
    <row r="104" customHeight="1" spans="1:41">
      <c r="A104" s="328"/>
      <c r="B104" s="337"/>
      <c r="C104" s="330"/>
      <c r="D104" s="330">
        <v>0.00454545454545455</v>
      </c>
      <c r="E104" s="355" t="s">
        <v>3198</v>
      </c>
      <c r="F104" s="337"/>
      <c r="G104" s="333"/>
      <c r="H104" s="334">
        <v>1</v>
      </c>
      <c r="I104" s="335"/>
      <c r="J104" s="380">
        <v>2.605</v>
      </c>
      <c r="K104" s="503" t="s">
        <v>3174</v>
      </c>
      <c r="L104" s="382"/>
      <c r="M104" s="382"/>
      <c r="N104" s="337"/>
      <c r="O104" s="383"/>
      <c r="P104" s="384"/>
      <c r="Q104" s="384">
        <v>1428.81818181818</v>
      </c>
      <c r="R104" s="384">
        <f t="shared" si="116"/>
        <v>1818.18181818182</v>
      </c>
      <c r="S104" s="384">
        <f>300000*$D$104</f>
        <v>1363.63636363636</v>
      </c>
      <c r="T104" s="384">
        <f>500000*$D$104</f>
        <v>2272.72727272727</v>
      </c>
      <c r="U104" s="384">
        <f>400000*$D$104</f>
        <v>1818.18181818182</v>
      </c>
      <c r="V104" s="384">
        <v>2272.72727272727</v>
      </c>
      <c r="W104" s="384">
        <v>2273</v>
      </c>
      <c r="X104" s="405">
        <f t="shared" si="102"/>
        <v>12010.7077272727</v>
      </c>
      <c r="Y104" s="384"/>
      <c r="Z104" s="406"/>
      <c r="AA104" s="406"/>
      <c r="AB104" s="513">
        <f t="shared" si="91"/>
        <v>0</v>
      </c>
      <c r="AC104" s="407">
        <f t="shared" si="103"/>
        <v>13247.2727272727</v>
      </c>
      <c r="AD104" s="408"/>
      <c r="AE104" s="382">
        <f t="shared" si="94"/>
        <v>13247</v>
      </c>
      <c r="AF104" s="430">
        <f t="shared" si="104"/>
        <v>13247</v>
      </c>
      <c r="AG104" s="431">
        <f t="shared" si="69"/>
        <v>0.27272727271702</v>
      </c>
      <c r="AH104" s="518"/>
      <c r="AI104" s="432"/>
      <c r="AJ104" s="432"/>
      <c r="AK104" s="432"/>
      <c r="AL104" s="433"/>
      <c r="AM104" s="433"/>
      <c r="AN104" s="433"/>
      <c r="AO104" s="432"/>
    </row>
    <row r="105" customHeight="1" spans="15:41">
      <c r="O105" s="452" t="s">
        <v>3212</v>
      </c>
      <c r="P105" s="453">
        <f t="shared" ref="P105:W105" si="117">SUM(P5:P104)</f>
        <v>377206.237931275</v>
      </c>
      <c r="Q105" s="453">
        <f t="shared" si="117"/>
        <v>154654.142857143</v>
      </c>
      <c r="R105" s="453">
        <f t="shared" si="117"/>
        <v>580495.415584416</v>
      </c>
      <c r="S105" s="453">
        <f t="shared" si="117"/>
        <v>474436.090909091</v>
      </c>
      <c r="T105" s="453">
        <f t="shared" si="117"/>
        <v>751822.116883117</v>
      </c>
      <c r="U105" s="453">
        <f t="shared" si="117"/>
        <v>562248.493506494</v>
      </c>
      <c r="V105" s="453">
        <f t="shared" si="117"/>
        <v>724784.116883117</v>
      </c>
      <c r="W105" s="453">
        <f t="shared" si="117"/>
        <v>705012</v>
      </c>
      <c r="X105" s="465">
        <f t="shared" ref="X105:AC105" si="118">SUM(X5:X104)</f>
        <v>4066616.37170932</v>
      </c>
      <c r="Y105" s="467">
        <f t="shared" si="118"/>
        <v>20205</v>
      </c>
      <c r="Z105" s="466"/>
      <c r="AA105" s="466"/>
      <c r="AB105" s="467">
        <f t="shared" si="118"/>
        <v>7234</v>
      </c>
      <c r="AC105" s="467">
        <f t="shared" si="118"/>
        <v>4337892.61455465</v>
      </c>
      <c r="AD105" s="467"/>
      <c r="AE105" s="467"/>
      <c r="AF105" s="467"/>
      <c r="AG105" s="475">
        <f>SUM(AG5:AG104)</f>
        <v>47751.6002197403</v>
      </c>
      <c r="AH105" s="539"/>
      <c r="AI105" s="476">
        <f t="shared" ref="AI105:AN105" si="119">SUM(AI5:AI71)+SUM(AI76:AI79)</f>
        <v>105660</v>
      </c>
      <c r="AJ105" s="476">
        <f t="shared" si="119"/>
        <v>2914340</v>
      </c>
      <c r="AK105" s="476">
        <f t="shared" si="119"/>
        <v>350000</v>
      </c>
      <c r="AL105" s="467">
        <f t="shared" si="119"/>
        <v>1200</v>
      </c>
      <c r="AM105" s="476">
        <f t="shared" si="119"/>
        <v>3500</v>
      </c>
      <c r="AN105" s="467">
        <f t="shared" si="119"/>
        <v>8805</v>
      </c>
      <c r="AO105" s="476">
        <f>MIN(AO5:AO104)</f>
        <v>2765.72532490388</v>
      </c>
    </row>
    <row r="106" customHeight="1" spans="15:41">
      <c r="O106" s="457" t="s">
        <v>3213</v>
      </c>
      <c r="P106" s="458">
        <f>AI105+AJ105</f>
        <v>3020000</v>
      </c>
      <c r="Q106" s="534"/>
      <c r="R106" s="459"/>
      <c r="S106" s="459"/>
      <c r="T106" s="459"/>
      <c r="U106" s="459"/>
      <c r="V106" s="459"/>
      <c r="W106" s="459"/>
      <c r="X106" s="471"/>
      <c r="Y106" s="472"/>
      <c r="Z106" s="472"/>
      <c r="AA106" s="472"/>
      <c r="AB106" s="472"/>
      <c r="AC106" s="472"/>
      <c r="AD106" s="472"/>
      <c r="AE106" s="472"/>
      <c r="AF106" s="472"/>
      <c r="AG106" s="479"/>
      <c r="AH106" s="540"/>
      <c r="AI106" s="480"/>
      <c r="AJ106" s="480"/>
      <c r="AK106" s="480"/>
      <c r="AL106" s="472"/>
      <c r="AM106" s="472"/>
      <c r="AN106" s="472"/>
      <c r="AO106" s="480"/>
    </row>
    <row r="107" customHeight="1" spans="15:41">
      <c r="O107" s="460" t="s">
        <v>3214</v>
      </c>
      <c r="P107" s="459">
        <v>15970</v>
      </c>
      <c r="Q107" s="459"/>
      <c r="R107" s="459"/>
      <c r="S107" s="459"/>
      <c r="T107" s="459"/>
      <c r="U107" s="459"/>
      <c r="V107" s="459"/>
      <c r="W107" s="459"/>
      <c r="X107" s="471"/>
      <c r="Y107" s="472"/>
      <c r="Z107" s="472"/>
      <c r="AA107" s="472"/>
      <c r="AB107" s="472"/>
      <c r="AC107" s="472"/>
      <c r="AD107" s="472"/>
      <c r="AE107" s="472"/>
      <c r="AF107" s="472"/>
      <c r="AG107" s="479"/>
      <c r="AH107" s="540"/>
      <c r="AI107" s="480"/>
      <c r="AJ107" s="480"/>
      <c r="AK107" s="480"/>
      <c r="AL107" s="472"/>
      <c r="AM107" s="472"/>
      <c r="AN107" s="472"/>
      <c r="AO107" s="480"/>
    </row>
    <row r="108" customHeight="1" spans="15:41">
      <c r="O108" s="460" t="s">
        <v>3215</v>
      </c>
      <c r="P108" s="459">
        <v>1761</v>
      </c>
      <c r="Q108" s="459"/>
      <c r="R108" s="459"/>
      <c r="S108" s="459"/>
      <c r="T108" s="459"/>
      <c r="U108" s="459"/>
      <c r="V108" s="459"/>
      <c r="W108" s="459"/>
      <c r="X108" s="471"/>
      <c r="Y108" s="472"/>
      <c r="Z108" s="472"/>
      <c r="AA108" s="472"/>
      <c r="AB108" s="472"/>
      <c r="AC108" s="472"/>
      <c r="AD108" s="472"/>
      <c r="AE108" s="472"/>
      <c r="AF108" s="472"/>
      <c r="AG108" s="479"/>
      <c r="AH108" s="540"/>
      <c r="AI108" s="480"/>
      <c r="AJ108" s="480"/>
      <c r="AK108" s="480"/>
      <c r="AL108" s="472"/>
      <c r="AM108" s="472"/>
      <c r="AN108" s="472"/>
      <c r="AO108" s="480"/>
    </row>
    <row r="109" customHeight="1" spans="15:41">
      <c r="O109" s="461" t="s">
        <v>2837</v>
      </c>
      <c r="P109" s="462"/>
      <c r="Q109" s="462"/>
      <c r="R109" s="462"/>
      <c r="S109" s="462"/>
      <c r="T109" s="462"/>
      <c r="U109" s="462"/>
      <c r="V109" s="462"/>
      <c r="W109" s="462"/>
      <c r="X109" s="473"/>
      <c r="Y109" s="474"/>
      <c r="Z109" s="474"/>
      <c r="AA109" s="474"/>
      <c r="AB109" s="474"/>
      <c r="AC109" s="474"/>
      <c r="AD109" s="474"/>
      <c r="AE109" s="474"/>
      <c r="AF109" s="474"/>
      <c r="AG109" s="481"/>
      <c r="AH109" s="541"/>
      <c r="AI109" s="482"/>
      <c r="AJ109" s="482"/>
      <c r="AK109" s="482"/>
      <c r="AL109" s="474"/>
      <c r="AM109" s="474"/>
      <c r="AN109" s="474"/>
      <c r="AO109" s="482"/>
    </row>
    <row r="110" customHeight="1" spans="15:16">
      <c r="O110" s="532" t="s">
        <v>3216</v>
      </c>
      <c r="P110" s="533">
        <f>P106-'77485半成品MA'!S6</f>
        <v>200000</v>
      </c>
    </row>
    <row r="111" customHeight="1" spans="15:16">
      <c r="O111" s="532" t="s">
        <v>3217</v>
      </c>
      <c r="P111" s="533">
        <f>P106-'77485半成品MA'!T6</f>
        <v>281740</v>
      </c>
    </row>
  </sheetData>
  <autoFilter xmlns:etc="http://www.wps.cn/officeDocument/2017/etCustomData" ref="A4:AP111" etc:filterBottomFollowUsedRange="0">
    <extLst/>
  </autoFilter>
  <conditionalFormatting sqref="E80">
    <cfRule type="duplicateValues" dxfId="3" priority="39"/>
  </conditionalFormatting>
  <conditionalFormatting sqref="E81">
    <cfRule type="duplicateValues" dxfId="3" priority="38"/>
  </conditionalFormatting>
  <conditionalFormatting sqref="E82">
    <cfRule type="duplicateValues" dxfId="3" priority="37"/>
  </conditionalFormatting>
  <conditionalFormatting sqref="E83">
    <cfRule type="duplicateValues" dxfId="3" priority="35"/>
  </conditionalFormatting>
  <conditionalFormatting sqref="E84">
    <cfRule type="duplicateValues" dxfId="3" priority="36"/>
  </conditionalFormatting>
  <conditionalFormatting sqref="E85">
    <cfRule type="duplicateValues" dxfId="3" priority="34"/>
  </conditionalFormatting>
  <conditionalFormatting sqref="E86">
    <cfRule type="duplicateValues" dxfId="3" priority="33"/>
  </conditionalFormatting>
  <conditionalFormatting sqref="E87">
    <cfRule type="duplicateValues" dxfId="3" priority="32"/>
  </conditionalFormatting>
  <conditionalFormatting sqref="E88">
    <cfRule type="duplicateValues" dxfId="3" priority="31"/>
  </conditionalFormatting>
  <conditionalFormatting sqref="E89">
    <cfRule type="duplicateValues" dxfId="3" priority="30"/>
  </conditionalFormatting>
  <conditionalFormatting sqref="E90">
    <cfRule type="duplicateValues" dxfId="3" priority="25"/>
  </conditionalFormatting>
  <conditionalFormatting sqref="E91">
    <cfRule type="duplicateValues" dxfId="3" priority="26"/>
  </conditionalFormatting>
  <conditionalFormatting sqref="E92">
    <cfRule type="duplicateValues" dxfId="3" priority="29"/>
  </conditionalFormatting>
  <conditionalFormatting sqref="E93">
    <cfRule type="duplicateValues" dxfId="3" priority="27"/>
  </conditionalFormatting>
  <conditionalFormatting sqref="E94">
    <cfRule type="duplicateValues" dxfId="3" priority="28"/>
  </conditionalFormatting>
  <conditionalFormatting sqref="E95">
    <cfRule type="duplicateValues" dxfId="3" priority="21"/>
  </conditionalFormatting>
  <conditionalFormatting sqref="E96">
    <cfRule type="duplicateValues" dxfId="3" priority="20"/>
  </conditionalFormatting>
  <conditionalFormatting sqref="E97">
    <cfRule type="duplicateValues" dxfId="3" priority="17"/>
  </conditionalFormatting>
  <conditionalFormatting sqref="E98">
    <cfRule type="duplicateValues" dxfId="3" priority="16"/>
  </conditionalFormatting>
  <conditionalFormatting sqref="E99">
    <cfRule type="duplicateValues" dxfId="3" priority="13"/>
  </conditionalFormatting>
  <conditionalFormatting sqref="E100">
    <cfRule type="duplicateValues" dxfId="3" priority="12"/>
  </conditionalFormatting>
  <conditionalFormatting sqref="E101">
    <cfRule type="duplicateValues" dxfId="3" priority="9"/>
  </conditionalFormatting>
  <conditionalFormatting sqref="E102">
    <cfRule type="duplicateValues" dxfId="3" priority="8"/>
  </conditionalFormatting>
  <conditionalFormatting sqref="E103">
    <cfRule type="duplicateValues" dxfId="3" priority="5"/>
  </conditionalFormatting>
  <conditionalFormatting sqref="E104">
    <cfRule type="duplicateValues" dxfId="3" priority="4"/>
  </conditionalFormatting>
  <conditionalFormatting sqref="E1:E113">
    <cfRule type="duplicateValues" dxfId="3" priority="1"/>
  </conditionalFormatting>
  <conditionalFormatting sqref="E92:E94">
    <cfRule type="duplicateValues" dxfId="3" priority="22"/>
  </conditionalFormatting>
  <conditionalFormatting sqref="E95:E96">
    <cfRule type="duplicateValues" dxfId="3" priority="19"/>
  </conditionalFormatting>
  <conditionalFormatting sqref="E97:E98">
    <cfRule type="duplicateValues" dxfId="3" priority="15"/>
  </conditionalFormatting>
  <conditionalFormatting sqref="E99:E100">
    <cfRule type="duplicateValues" dxfId="3" priority="11"/>
  </conditionalFormatting>
  <conditionalFormatting sqref="E101:E102">
    <cfRule type="duplicateValues" dxfId="3" priority="7"/>
  </conditionalFormatting>
  <conditionalFormatting sqref="E103:E104">
    <cfRule type="duplicateValues" dxfId="3" priority="3"/>
  </conditionalFormatting>
  <conditionalFormatting sqref="E105:E113 E1:E94">
    <cfRule type="duplicateValues" dxfId="3" priority="24"/>
  </conditionalFormatting>
  <conditionalFormatting sqref="E105:E113 E4:E79">
    <cfRule type="duplicateValues" dxfId="3" priority="40"/>
  </conditionalFormatting>
  <conditionalFormatting sqref="E90:E91 E88 E86 E84 E81">
    <cfRule type="duplicateValues" dxfId="3" priority="23"/>
  </conditionalFormatting>
  <pageMargins left="0.35" right="0.12" top="0.2" bottom="0.75" header="0.3" footer="0.3"/>
  <pageSetup paperSize="9" scale="18" fitToHeight="0" orientation="portrait" verticalDpi="300"/>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121"/>
  <sheetViews>
    <sheetView zoomScale="85" zoomScaleNormal="85" workbookViewId="0">
      <pane xSplit="2" ySplit="4" topLeftCell="I92" activePane="bottomRight" state="frozen"/>
      <selection/>
      <selection pane="topRight"/>
      <selection pane="bottomLeft"/>
      <selection pane="bottomRight" activeCell="H213" sqref="H213"/>
    </sheetView>
  </sheetViews>
  <sheetFormatPr defaultColWidth="9" defaultRowHeight="30" customHeight="1"/>
  <cols>
    <col min="1" max="1" width="19.175" style="295" customWidth="1"/>
    <col min="2" max="2" width="15.45" style="295" customWidth="1"/>
    <col min="3" max="3" width="11.9" style="295" customWidth="1"/>
    <col min="4" max="4" width="19.6333333333333" style="295" customWidth="1"/>
    <col min="5" max="5" width="14.2666666666667" style="295" customWidth="1"/>
    <col min="6" max="6" width="10.9" style="297" customWidth="1"/>
    <col min="7" max="7" width="11.45" style="297" customWidth="1"/>
    <col min="8" max="8" width="11.0916666666667" style="297" customWidth="1"/>
    <col min="9" max="9" width="10.0916666666667" style="297" customWidth="1"/>
    <col min="10" max="10" width="11" style="297" customWidth="1"/>
    <col min="11" max="11" width="13.3666666666667" style="297" customWidth="1"/>
    <col min="12" max="12" width="20" style="297" customWidth="1"/>
    <col min="13" max="13" width="17.45" style="298" customWidth="1"/>
    <col min="14" max="14" width="12.8166666666667" style="298" customWidth="1"/>
    <col min="15" max="17" width="12" style="298" customWidth="1" outlineLevel="1"/>
    <col min="18" max="20" width="14" style="298" customWidth="1" outlineLevel="1"/>
    <col min="21" max="21" width="13.3666666666667" style="299" customWidth="1"/>
    <col min="22" max="22" width="11.9" style="297" customWidth="1"/>
    <col min="23" max="23" width="11.175" style="297" customWidth="1"/>
    <col min="24" max="24" width="13.0916666666667" style="297" customWidth="1"/>
    <col min="25" max="25" width="13.45" style="297" customWidth="1"/>
    <col min="26" max="26" width="11.6333333333333" style="297" customWidth="1"/>
    <col min="27" max="27" width="11.175" style="297" customWidth="1"/>
    <col min="28" max="29" width="11.9" style="300" customWidth="1"/>
    <col min="30" max="31" width="10.45" style="297" customWidth="1"/>
    <col min="32" max="32" width="13.9" style="300" customWidth="1"/>
    <col min="33" max="33" width="12.6333333333333" style="295" hidden="1" customWidth="1"/>
    <col min="34" max="34" width="9.81666666666667" style="295" hidden="1" customWidth="1"/>
    <col min="35" max="16384" width="9" style="295"/>
  </cols>
  <sheetData>
    <row r="1" s="295" customFormat="1" ht="17.75" customHeight="1" spans="6:32">
      <c r="F1" s="297"/>
      <c r="G1" s="297"/>
      <c r="H1" s="297"/>
      <c r="I1" s="297"/>
      <c r="J1" s="297"/>
      <c r="K1" s="297"/>
      <c r="L1" s="297"/>
      <c r="M1" s="303" t="s">
        <v>3015</v>
      </c>
      <c r="N1" s="358">
        <v>45770</v>
      </c>
      <c r="O1" s="359">
        <v>45870</v>
      </c>
      <c r="P1" s="359">
        <v>45923</v>
      </c>
      <c r="Q1" s="358"/>
      <c r="R1" s="358"/>
      <c r="S1" s="358"/>
      <c r="T1" s="358"/>
      <c r="U1" s="299"/>
      <c r="V1" s="297"/>
      <c r="W1" s="297"/>
      <c r="X1" s="297"/>
      <c r="Y1" s="297"/>
      <c r="Z1" s="297"/>
      <c r="AA1" s="297"/>
      <c r="AB1" s="300"/>
      <c r="AC1" s="300"/>
      <c r="AD1" s="297"/>
      <c r="AE1" s="297"/>
      <c r="AF1" s="300"/>
    </row>
    <row r="2" s="295" customFormat="1" ht="17.75" customHeight="1" spans="6:32">
      <c r="F2" s="297"/>
      <c r="G2" s="297"/>
      <c r="H2" s="297"/>
      <c r="I2" s="297"/>
      <c r="J2" s="297"/>
      <c r="K2" s="297"/>
      <c r="L2" s="297"/>
      <c r="M2" s="305" t="s">
        <v>3018</v>
      </c>
      <c r="N2" s="360">
        <f>N1+35</f>
        <v>45805</v>
      </c>
      <c r="O2" s="361">
        <v>45935</v>
      </c>
      <c r="P2" s="361">
        <v>45991</v>
      </c>
      <c r="Q2" s="360"/>
      <c r="R2" s="360"/>
      <c r="S2" s="360"/>
      <c r="T2" s="360"/>
      <c r="U2" s="299"/>
      <c r="V2" s="297"/>
      <c r="W2" s="297"/>
      <c r="X2" s="297"/>
      <c r="Y2" s="297"/>
      <c r="Z2" s="297"/>
      <c r="AA2" s="297"/>
      <c r="AB2" s="300"/>
      <c r="AC2" s="300"/>
      <c r="AD2" s="297"/>
      <c r="AE2" s="297"/>
      <c r="AF2" s="300"/>
    </row>
    <row r="3" s="295" customFormat="1" ht="27.75" spans="1:32">
      <c r="A3" s="301"/>
      <c r="B3" s="302"/>
      <c r="C3" s="303"/>
      <c r="D3" s="304"/>
      <c r="E3" s="305"/>
      <c r="F3" s="306"/>
      <c r="G3" s="306"/>
      <c r="H3" s="306"/>
      <c r="I3" s="362"/>
      <c r="J3" s="363" t="s">
        <v>3218</v>
      </c>
      <c r="K3" s="364">
        <v>834387</v>
      </c>
      <c r="L3" s="365" t="s">
        <v>3219</v>
      </c>
      <c r="M3" s="366" t="s">
        <v>3020</v>
      </c>
      <c r="N3" s="366" t="s">
        <v>3220</v>
      </c>
      <c r="O3" s="366" t="s">
        <v>3221</v>
      </c>
      <c r="P3" s="366" t="s">
        <v>3222</v>
      </c>
      <c r="Q3" s="366"/>
      <c r="R3" s="394" t="s">
        <v>2706</v>
      </c>
      <c r="S3" s="394" t="s">
        <v>3223</v>
      </c>
      <c r="T3" s="394" t="s">
        <v>3224</v>
      </c>
      <c r="U3" s="299"/>
      <c r="V3" s="297"/>
      <c r="W3" s="297"/>
      <c r="X3" s="297"/>
      <c r="Y3" s="297"/>
      <c r="Z3" s="297"/>
      <c r="AA3" s="297"/>
      <c r="AB3" s="417" t="s">
        <v>3225</v>
      </c>
      <c r="AC3" s="300">
        <f>16000+12000</f>
        <v>28000</v>
      </c>
      <c r="AD3" s="297"/>
      <c r="AE3" s="297"/>
      <c r="AF3" s="300"/>
    </row>
    <row r="4" s="296" customFormat="1" ht="47.15" customHeight="1" spans="1:32">
      <c r="A4" s="307" t="s">
        <v>2703</v>
      </c>
      <c r="B4" s="307" t="s">
        <v>2312</v>
      </c>
      <c r="C4" s="308" t="s">
        <v>3226</v>
      </c>
      <c r="D4" s="308" t="s">
        <v>3227</v>
      </c>
      <c r="E4" s="308" t="s">
        <v>3036</v>
      </c>
      <c r="F4" s="309" t="s">
        <v>3037</v>
      </c>
      <c r="G4" s="309" t="s">
        <v>3038</v>
      </c>
      <c r="H4" s="309" t="s">
        <v>3039</v>
      </c>
      <c r="I4" s="367" t="s">
        <v>3040</v>
      </c>
      <c r="J4" s="308" t="s">
        <v>3041</v>
      </c>
      <c r="K4" s="308" t="s">
        <v>3228</v>
      </c>
      <c r="L4" s="308" t="s">
        <v>3044</v>
      </c>
      <c r="M4" s="368" t="s">
        <v>3045</v>
      </c>
      <c r="N4" s="368">
        <v>420000</v>
      </c>
      <c r="O4" s="368">
        <v>440000</v>
      </c>
      <c r="P4" s="368">
        <v>440000</v>
      </c>
      <c r="Q4" s="368"/>
      <c r="R4" s="368">
        <f>SUM(N4:Q4)</f>
        <v>1300000</v>
      </c>
      <c r="S4" s="368">
        <f>R4-'77770半成品MA'!J6</f>
        <v>0</v>
      </c>
      <c r="T4" s="368">
        <f>R4-'77770半成品MA'!K6</f>
        <v>239014</v>
      </c>
      <c r="U4" s="395" t="s">
        <v>3047</v>
      </c>
      <c r="V4" s="396" t="s">
        <v>3229</v>
      </c>
      <c r="W4" s="368" t="s">
        <v>3052</v>
      </c>
      <c r="X4" s="397" t="s">
        <v>3053</v>
      </c>
      <c r="Y4" s="368" t="s">
        <v>3230</v>
      </c>
      <c r="Z4" s="397" t="s">
        <v>3231</v>
      </c>
      <c r="AA4" s="418" t="s">
        <v>3232</v>
      </c>
      <c r="AB4" s="419">
        <f>420000+440000</f>
        <v>860000</v>
      </c>
      <c r="AC4" s="419" t="s">
        <v>3233</v>
      </c>
      <c r="AD4" s="420" t="s">
        <v>3234</v>
      </c>
      <c r="AE4" s="420" t="s">
        <v>3235</v>
      </c>
      <c r="AF4" s="421" t="s">
        <v>3062</v>
      </c>
    </row>
    <row r="5" s="295" customFormat="1" customHeight="1" spans="1:34">
      <c r="A5" s="310"/>
      <c r="B5" s="311" t="s">
        <v>3236</v>
      </c>
      <c r="C5" s="312">
        <v>0.0452479338842975</v>
      </c>
      <c r="D5" s="313" t="s">
        <v>3237</v>
      </c>
      <c r="E5" s="314" t="s">
        <v>3238</v>
      </c>
      <c r="F5" s="315">
        <v>2000</v>
      </c>
      <c r="G5" s="316">
        <v>0.00477430555555556</v>
      </c>
      <c r="H5" s="317">
        <f t="shared" ref="H5:H9" si="0">F5/G5</f>
        <v>418909.09090909</v>
      </c>
      <c r="I5" s="369">
        <f t="shared" ref="I5:I9" si="1">32.3</f>
        <v>32.3</v>
      </c>
      <c r="J5" s="370" t="s">
        <v>3239</v>
      </c>
      <c r="K5" s="371">
        <f t="shared" ref="K5:K9" si="2">F5/C5/G5</f>
        <v>9258082.19178082</v>
      </c>
      <c r="L5" s="372"/>
      <c r="M5" s="373">
        <f>C5*$K$3*G5</f>
        <v>180.250506036932</v>
      </c>
      <c r="N5" s="374">
        <v>91</v>
      </c>
      <c r="O5" s="374">
        <v>95</v>
      </c>
      <c r="P5" s="374">
        <v>100</v>
      </c>
      <c r="Q5" s="374"/>
      <c r="R5" s="379"/>
      <c r="S5" s="379"/>
      <c r="T5" s="379"/>
      <c r="U5" s="398">
        <f t="shared" ref="U5:U68" si="3">SUM(N5:S5)*I5</f>
        <v>9237.8</v>
      </c>
      <c r="V5" s="399">
        <f>Z5/SUM(Z5:Z7)</f>
        <v>0.573696145124793</v>
      </c>
      <c r="W5" s="400">
        <f>SUM(N5:S5)</f>
        <v>286</v>
      </c>
      <c r="X5" s="401">
        <f t="shared" ref="X5:X9" si="4">W5/G5</f>
        <v>59903.9999999999</v>
      </c>
      <c r="Y5" s="371">
        <f t="shared" ref="Y5:Y28" si="5">ROUNDUP($AB$4*C5,0)+AC5+AD5+AE5</f>
        <v>38914</v>
      </c>
      <c r="Z5" s="422">
        <f t="shared" ref="Z5:Z28" si="6">Y5*G5</f>
        <v>185.787326388889</v>
      </c>
      <c r="AA5" s="423">
        <f t="shared" ref="AA5:AA68" si="7">W5-Z5</f>
        <v>100.212673611111</v>
      </c>
      <c r="AB5" s="424">
        <f>$AB$4*C5</f>
        <v>38913.2231404959</v>
      </c>
      <c r="AC5" s="424"/>
      <c r="AD5" s="425"/>
      <c r="AE5" s="425"/>
      <c r="AF5" s="424">
        <f t="shared" ref="AF5:AF9" si="8">AA5/G5/C5</f>
        <v>463888.584474885</v>
      </c>
      <c r="AG5" s="438"/>
      <c r="AH5" s="439">
        <f t="shared" ref="AH5:AH9" si="9">U5*1.5</f>
        <v>13856.7</v>
      </c>
    </row>
    <row r="6" s="295" customFormat="1" customHeight="1" spans="1:34">
      <c r="A6" s="318"/>
      <c r="B6" s="319"/>
      <c r="C6" s="320">
        <v>0.0452479338842975</v>
      </c>
      <c r="D6" s="321" t="s">
        <v>3237</v>
      </c>
      <c r="E6" s="322" t="s">
        <v>3240</v>
      </c>
      <c r="F6" s="323">
        <v>2000</v>
      </c>
      <c r="G6" s="324">
        <v>0.00181159420289855</v>
      </c>
      <c r="H6" s="325">
        <f t="shared" si="0"/>
        <v>1104000</v>
      </c>
      <c r="I6" s="375">
        <f t="shared" si="1"/>
        <v>32.3</v>
      </c>
      <c r="J6" s="376" t="s">
        <v>3239</v>
      </c>
      <c r="K6" s="377">
        <f t="shared" si="2"/>
        <v>24398904.1095891</v>
      </c>
      <c r="L6" s="339"/>
      <c r="M6" s="378">
        <f t="shared" ref="M5:M28" si="10">C6*$K$3*G6</f>
        <v>68.3954489310097</v>
      </c>
      <c r="N6" s="379">
        <v>35</v>
      </c>
      <c r="O6" s="379">
        <v>36</v>
      </c>
      <c r="P6" s="379">
        <v>40</v>
      </c>
      <c r="Q6" s="379"/>
      <c r="R6" s="379"/>
      <c r="S6" s="379"/>
      <c r="T6" s="379"/>
      <c r="U6" s="398">
        <f t="shared" si="3"/>
        <v>3585.3</v>
      </c>
      <c r="V6" s="402">
        <f>Z6/SUM(Z5:Z7)</f>
        <v>0.217687074829961</v>
      </c>
      <c r="W6" s="403">
        <f t="shared" ref="W5:W68" si="11">SUM(N6:S6)</f>
        <v>111</v>
      </c>
      <c r="X6" s="404">
        <f t="shared" si="4"/>
        <v>61272</v>
      </c>
      <c r="Y6" s="377">
        <f t="shared" si="5"/>
        <v>38914</v>
      </c>
      <c r="Z6" s="426">
        <f t="shared" si="6"/>
        <v>70.4963768115942</v>
      </c>
      <c r="AA6" s="427">
        <f t="shared" si="7"/>
        <v>40.5036231884058</v>
      </c>
      <c r="AB6" s="428"/>
      <c r="AC6" s="428"/>
      <c r="AD6" s="429"/>
      <c r="AE6" s="429"/>
      <c r="AF6" s="428">
        <f t="shared" si="8"/>
        <v>494122.009132421</v>
      </c>
      <c r="AG6" s="440"/>
      <c r="AH6" s="439">
        <f t="shared" si="9"/>
        <v>5377.95</v>
      </c>
    </row>
    <row r="7" s="295" customFormat="1" customHeight="1" spans="1:34">
      <c r="A7" s="318"/>
      <c r="B7" s="319"/>
      <c r="C7" s="320">
        <v>0.0452479338842975</v>
      </c>
      <c r="D7" s="326" t="s">
        <v>3237</v>
      </c>
      <c r="E7" s="322" t="s">
        <v>3241</v>
      </c>
      <c r="F7" s="327">
        <v>2000</v>
      </c>
      <c r="G7" s="324">
        <v>0.00173611111111</v>
      </c>
      <c r="H7" s="325">
        <f t="shared" si="0"/>
        <v>1152000.00000074</v>
      </c>
      <c r="I7" s="375">
        <f t="shared" si="1"/>
        <v>32.3</v>
      </c>
      <c r="J7" s="376" t="s">
        <v>3239</v>
      </c>
      <c r="K7" s="377">
        <f t="shared" si="2"/>
        <v>25459726.0274136</v>
      </c>
      <c r="L7" s="339"/>
      <c r="M7" s="378">
        <f t="shared" si="10"/>
        <v>65.5456385588423</v>
      </c>
      <c r="N7" s="379">
        <v>33</v>
      </c>
      <c r="O7" s="379">
        <v>35</v>
      </c>
      <c r="P7" s="379">
        <v>35</v>
      </c>
      <c r="Q7" s="379"/>
      <c r="R7" s="379"/>
      <c r="S7" s="379"/>
      <c r="T7" s="379"/>
      <c r="U7" s="398">
        <f t="shared" si="3"/>
        <v>3326.9</v>
      </c>
      <c r="V7" s="402">
        <f>Z7/SUM(Z5:Z7)</f>
        <v>0.208616780045246</v>
      </c>
      <c r="W7" s="403">
        <f t="shared" si="11"/>
        <v>103</v>
      </c>
      <c r="X7" s="404">
        <f t="shared" si="4"/>
        <v>59328.000000038</v>
      </c>
      <c r="Y7" s="377">
        <f t="shared" si="5"/>
        <v>38914</v>
      </c>
      <c r="Z7" s="426">
        <f t="shared" si="6"/>
        <v>67.5590277777345</v>
      </c>
      <c r="AA7" s="427">
        <f t="shared" si="7"/>
        <v>35.4409722222655</v>
      </c>
      <c r="AB7" s="428"/>
      <c r="AC7" s="428"/>
      <c r="AD7" s="429"/>
      <c r="AE7" s="429"/>
      <c r="AF7" s="428">
        <f t="shared" si="8"/>
        <v>451158.721462027</v>
      </c>
      <c r="AG7" s="440"/>
      <c r="AH7" s="439">
        <f t="shared" si="9"/>
        <v>4990.35</v>
      </c>
    </row>
    <row r="8" s="295" customFormat="1" customHeight="1" spans="1:34">
      <c r="A8" s="318"/>
      <c r="B8" s="319"/>
      <c r="C8" s="320">
        <v>0.0452479338842975</v>
      </c>
      <c r="D8" s="326" t="s">
        <v>3242</v>
      </c>
      <c r="E8" s="322" t="s">
        <v>3243</v>
      </c>
      <c r="F8" s="323">
        <v>2000</v>
      </c>
      <c r="G8" s="324">
        <v>0.00303819444444444</v>
      </c>
      <c r="H8" s="325">
        <f t="shared" si="0"/>
        <v>658285.714285715</v>
      </c>
      <c r="I8" s="375">
        <f t="shared" si="1"/>
        <v>32.3</v>
      </c>
      <c r="J8" s="376" t="s">
        <v>3239</v>
      </c>
      <c r="K8" s="377">
        <f t="shared" si="2"/>
        <v>14548414.8727985</v>
      </c>
      <c r="L8" s="339"/>
      <c r="M8" s="378">
        <f t="shared" si="10"/>
        <v>114.704867478047</v>
      </c>
      <c r="N8" s="379">
        <v>58</v>
      </c>
      <c r="O8" s="379">
        <v>61</v>
      </c>
      <c r="P8" s="379">
        <v>60</v>
      </c>
      <c r="Q8" s="379"/>
      <c r="R8" s="379"/>
      <c r="S8" s="379"/>
      <c r="T8" s="379"/>
      <c r="U8" s="398">
        <f t="shared" si="3"/>
        <v>5781.7</v>
      </c>
      <c r="V8" s="402">
        <f>Z8/(Z8+Z9)</f>
        <v>0.640256959314954</v>
      </c>
      <c r="W8" s="403">
        <f t="shared" si="11"/>
        <v>179</v>
      </c>
      <c r="X8" s="404">
        <f t="shared" si="4"/>
        <v>58916.5714285715</v>
      </c>
      <c r="Y8" s="377">
        <f t="shared" si="5"/>
        <v>38914</v>
      </c>
      <c r="Z8" s="426">
        <f t="shared" si="6"/>
        <v>118.228298611111</v>
      </c>
      <c r="AA8" s="427">
        <f t="shared" si="7"/>
        <v>60.7717013888891</v>
      </c>
      <c r="AB8" s="428"/>
      <c r="AC8" s="428"/>
      <c r="AD8" s="429"/>
      <c r="AE8" s="429"/>
      <c r="AF8" s="428">
        <f t="shared" si="8"/>
        <v>442065.96216569</v>
      </c>
      <c r="AG8" s="440"/>
      <c r="AH8" s="439">
        <f t="shared" si="9"/>
        <v>8672.55</v>
      </c>
    </row>
    <row r="9" s="295" customFormat="1" customHeight="1" spans="1:34">
      <c r="A9" s="318"/>
      <c r="B9" s="319"/>
      <c r="C9" s="320">
        <v>0.0452479338842975</v>
      </c>
      <c r="D9" s="326" t="s">
        <v>3242</v>
      </c>
      <c r="E9" s="322" t="s">
        <v>3244</v>
      </c>
      <c r="F9" s="327">
        <v>2000</v>
      </c>
      <c r="G9" s="324">
        <v>0.00170707915273</v>
      </c>
      <c r="H9" s="325">
        <f t="shared" si="0"/>
        <v>1171591.8367356</v>
      </c>
      <c r="I9" s="375">
        <f t="shared" si="1"/>
        <v>32.3</v>
      </c>
      <c r="J9" s="376" t="s">
        <v>3239</v>
      </c>
      <c r="K9" s="377">
        <f t="shared" si="2"/>
        <v>25892714.5652983</v>
      </c>
      <c r="L9" s="339"/>
      <c r="M9" s="378">
        <f t="shared" si="10"/>
        <v>64.4495576464783</v>
      </c>
      <c r="N9" s="379">
        <v>33</v>
      </c>
      <c r="O9" s="379">
        <v>34</v>
      </c>
      <c r="P9" s="379">
        <v>34</v>
      </c>
      <c r="Q9" s="379"/>
      <c r="R9" s="379"/>
      <c r="S9" s="379"/>
      <c r="T9" s="379"/>
      <c r="U9" s="398">
        <f t="shared" si="3"/>
        <v>3262.3</v>
      </c>
      <c r="V9" s="402">
        <f>Z9/(Z8+Z9)</f>
        <v>0.359743040685046</v>
      </c>
      <c r="W9" s="403">
        <f t="shared" si="11"/>
        <v>101</v>
      </c>
      <c r="X9" s="404">
        <f t="shared" si="4"/>
        <v>59165.387755148</v>
      </c>
      <c r="Y9" s="377">
        <f t="shared" si="5"/>
        <v>38914</v>
      </c>
      <c r="Z9" s="426">
        <f t="shared" si="6"/>
        <v>66.4292781493352</v>
      </c>
      <c r="AA9" s="427">
        <f t="shared" si="7"/>
        <v>34.5707218506648</v>
      </c>
      <c r="AB9" s="428"/>
      <c r="AC9" s="428"/>
      <c r="AD9" s="429"/>
      <c r="AE9" s="429"/>
      <c r="AF9" s="428">
        <f t="shared" si="8"/>
        <v>447564.916597792</v>
      </c>
      <c r="AG9" s="440"/>
      <c r="AH9" s="439">
        <f t="shared" si="9"/>
        <v>4893.45</v>
      </c>
    </row>
    <row r="10" s="295" customFormat="1" customHeight="1" spans="1:32">
      <c r="A10" s="328"/>
      <c r="B10" s="329"/>
      <c r="C10" s="330">
        <v>0.0452479338842975</v>
      </c>
      <c r="D10" s="331"/>
      <c r="E10" s="332" t="s">
        <v>3198</v>
      </c>
      <c r="F10" s="333"/>
      <c r="G10" s="334">
        <v>1</v>
      </c>
      <c r="H10" s="335"/>
      <c r="I10" s="380">
        <v>1.5527353</v>
      </c>
      <c r="J10" s="381" t="s">
        <v>3239</v>
      </c>
      <c r="K10" s="382"/>
      <c r="L10" s="337"/>
      <c r="M10" s="383">
        <f t="shared" si="10"/>
        <v>37754.2878099173</v>
      </c>
      <c r="N10" s="384">
        <f>ROUNDUP($AB$4*$C10,0)</f>
        <v>38914</v>
      </c>
      <c r="O10" s="384">
        <v>19909</v>
      </c>
      <c r="P10" s="384">
        <v>19909</v>
      </c>
      <c r="Q10" s="384"/>
      <c r="R10" s="384"/>
      <c r="S10" s="384"/>
      <c r="T10" s="384"/>
      <c r="U10" s="405">
        <f t="shared" si="3"/>
        <v>122249.9556396</v>
      </c>
      <c r="V10" s="406"/>
      <c r="W10" s="407">
        <f t="shared" si="11"/>
        <v>78732</v>
      </c>
      <c r="X10" s="408"/>
      <c r="Y10" s="382">
        <f t="shared" si="5"/>
        <v>38914</v>
      </c>
      <c r="Z10" s="430">
        <f t="shared" si="6"/>
        <v>38914</v>
      </c>
      <c r="AA10" s="431">
        <f t="shared" si="7"/>
        <v>39818</v>
      </c>
      <c r="AB10" s="432"/>
      <c r="AC10" s="432"/>
      <c r="AD10" s="433"/>
      <c r="AE10" s="433"/>
      <c r="AF10" s="432"/>
    </row>
    <row r="11" s="295" customFormat="1" customHeight="1" spans="1:32">
      <c r="A11" s="310"/>
      <c r="B11" s="311" t="s">
        <v>3245</v>
      </c>
      <c r="C11" s="312">
        <v>0.0452479338842975</v>
      </c>
      <c r="D11" s="313" t="s">
        <v>3246</v>
      </c>
      <c r="E11" s="314" t="s">
        <v>3247</v>
      </c>
      <c r="F11" s="315">
        <v>500</v>
      </c>
      <c r="G11" s="316">
        <v>0.00937425807217</v>
      </c>
      <c r="H11" s="317">
        <f t="shared" ref="H11:H14" si="12">F11/G11</f>
        <v>53337.5544123736</v>
      </c>
      <c r="I11" s="369">
        <v>27</v>
      </c>
      <c r="J11" s="370" t="s">
        <v>3248</v>
      </c>
      <c r="K11" s="371">
        <f t="shared" ref="K11:K14" si="13">F11/C11/G11</f>
        <v>1178784.30756113</v>
      </c>
      <c r="L11" s="311" t="s">
        <v>3249</v>
      </c>
      <c r="M11" s="373">
        <f t="shared" si="10"/>
        <v>353.918437261147</v>
      </c>
      <c r="N11" s="374">
        <v>329</v>
      </c>
      <c r="O11" s="374">
        <v>299</v>
      </c>
      <c r="P11" s="374">
        <v>318</v>
      </c>
      <c r="Q11" s="374"/>
      <c r="R11" s="374"/>
      <c r="S11" s="374"/>
      <c r="T11" s="374"/>
      <c r="U11" s="398">
        <f t="shared" si="3"/>
        <v>25542</v>
      </c>
      <c r="V11" s="399"/>
      <c r="W11" s="400">
        <f t="shared" si="11"/>
        <v>946</v>
      </c>
      <c r="X11" s="401">
        <f t="shared" ref="X11:X14" si="14">W11/G11</f>
        <v>100914.652948211</v>
      </c>
      <c r="Y11" s="371">
        <f t="shared" si="5"/>
        <v>66914</v>
      </c>
      <c r="Z11" s="422">
        <f t="shared" si="6"/>
        <v>627.269104641183</v>
      </c>
      <c r="AA11" s="423">
        <f t="shared" si="7"/>
        <v>318.730895358817</v>
      </c>
      <c r="AB11" s="424">
        <f>$AB$4*C11</f>
        <v>38913.2231404959</v>
      </c>
      <c r="AC11" s="424">
        <f t="shared" ref="AC11:AC15" si="15">$AC$3</f>
        <v>28000</v>
      </c>
      <c r="AD11" s="425"/>
      <c r="AE11" s="425"/>
      <c r="AF11" s="424">
        <f t="shared" ref="AF11:AF14" si="16">AA11/G11/C11</f>
        <v>751429.955567766</v>
      </c>
    </row>
    <row r="12" s="295" customFormat="1" customHeight="1" spans="1:34">
      <c r="A12" s="318"/>
      <c r="B12" s="336"/>
      <c r="C12" s="320">
        <v>0.0452479338842975</v>
      </c>
      <c r="D12" s="326" t="s">
        <v>3250</v>
      </c>
      <c r="E12" s="322" t="s">
        <v>3251</v>
      </c>
      <c r="F12" s="323">
        <v>500</v>
      </c>
      <c r="G12" s="324">
        <v>0.000402576489533011</v>
      </c>
      <c r="H12" s="325">
        <f t="shared" si="12"/>
        <v>1242000</v>
      </c>
      <c r="I12" s="375">
        <f t="shared" ref="I12:I18" si="17">32.3</f>
        <v>32.3</v>
      </c>
      <c r="J12" s="376" t="s">
        <v>3248</v>
      </c>
      <c r="K12" s="377">
        <f t="shared" si="13"/>
        <v>27448767.1232877</v>
      </c>
      <c r="L12" s="339"/>
      <c r="M12" s="378">
        <f t="shared" si="10"/>
        <v>15.1989886513355</v>
      </c>
      <c r="N12" s="379">
        <v>15</v>
      </c>
      <c r="O12" s="379">
        <v>12</v>
      </c>
      <c r="P12" s="379">
        <v>14</v>
      </c>
      <c r="Q12" s="379"/>
      <c r="R12" s="379"/>
      <c r="S12" s="379"/>
      <c r="T12" s="379"/>
      <c r="U12" s="398">
        <f t="shared" si="3"/>
        <v>1324.3</v>
      </c>
      <c r="V12" s="409">
        <f>Z12/(Z12+Z13)</f>
        <v>0.286698828394734</v>
      </c>
      <c r="W12" s="403">
        <f t="shared" si="11"/>
        <v>41</v>
      </c>
      <c r="X12" s="404">
        <f t="shared" si="14"/>
        <v>101844</v>
      </c>
      <c r="Y12" s="377">
        <f t="shared" si="5"/>
        <v>66914</v>
      </c>
      <c r="Z12" s="426">
        <f t="shared" si="6"/>
        <v>26.9380032206119</v>
      </c>
      <c r="AA12" s="427">
        <f t="shared" si="7"/>
        <v>14.0619967793881</v>
      </c>
      <c r="AB12" s="428"/>
      <c r="AC12" s="428">
        <f t="shared" si="15"/>
        <v>28000</v>
      </c>
      <c r="AD12" s="429"/>
      <c r="AE12" s="429"/>
      <c r="AF12" s="428">
        <f t="shared" si="16"/>
        <v>771968.949771691</v>
      </c>
      <c r="AG12" s="440"/>
      <c r="AH12" s="439">
        <f t="shared" ref="AH12:AH18" si="18">U12*1.5</f>
        <v>1986.45</v>
      </c>
    </row>
    <row r="13" s="295" customFormat="1" customHeight="1" spans="1:34">
      <c r="A13" s="318"/>
      <c r="B13" s="336"/>
      <c r="C13" s="320">
        <v>0.0452479338842975</v>
      </c>
      <c r="D13" s="326" t="s">
        <v>3250</v>
      </c>
      <c r="E13" s="326" t="s">
        <v>3252</v>
      </c>
      <c r="F13" s="323">
        <v>500</v>
      </c>
      <c r="G13" s="324">
        <v>0.0010016025641</v>
      </c>
      <c r="H13" s="325">
        <f t="shared" si="12"/>
        <v>499200.000001278</v>
      </c>
      <c r="I13" s="375">
        <f t="shared" si="17"/>
        <v>32.3</v>
      </c>
      <c r="J13" s="376" t="s">
        <v>3248</v>
      </c>
      <c r="K13" s="377">
        <f t="shared" si="13"/>
        <v>11032547.9452337</v>
      </c>
      <c r="L13" s="339"/>
      <c r="M13" s="378">
        <f t="shared" si="10"/>
        <v>37.8147914761826</v>
      </c>
      <c r="N13" s="379">
        <v>36</v>
      </c>
      <c r="O13" s="379">
        <v>32</v>
      </c>
      <c r="P13" s="379">
        <v>33</v>
      </c>
      <c r="Q13" s="379"/>
      <c r="R13" s="379"/>
      <c r="S13" s="379"/>
      <c r="T13" s="379"/>
      <c r="U13" s="398">
        <f t="shared" si="3"/>
        <v>3262.3</v>
      </c>
      <c r="V13" s="409">
        <f>Z13/(Z13+Z12)</f>
        <v>0.713301171605266</v>
      </c>
      <c r="W13" s="403">
        <f t="shared" si="11"/>
        <v>101</v>
      </c>
      <c r="X13" s="404">
        <f t="shared" si="14"/>
        <v>100838.400000258</v>
      </c>
      <c r="Y13" s="377">
        <f t="shared" si="5"/>
        <v>66914</v>
      </c>
      <c r="Z13" s="426">
        <f t="shared" si="6"/>
        <v>67.0212339741874</v>
      </c>
      <c r="AA13" s="427">
        <f t="shared" si="7"/>
        <v>33.9787660258126</v>
      </c>
      <c r="AB13" s="428"/>
      <c r="AC13" s="428">
        <f t="shared" si="15"/>
        <v>28000</v>
      </c>
      <c r="AD13" s="429"/>
      <c r="AE13" s="429"/>
      <c r="AF13" s="428">
        <f t="shared" si="16"/>
        <v>749744.730599312</v>
      </c>
      <c r="AG13" s="440"/>
      <c r="AH13" s="439">
        <f t="shared" si="18"/>
        <v>4893.45</v>
      </c>
    </row>
    <row r="14" s="295" customFormat="1" customHeight="1" spans="1:33">
      <c r="A14" s="318"/>
      <c r="B14" s="336"/>
      <c r="C14" s="320">
        <v>0.0452479338842975</v>
      </c>
      <c r="D14" s="326" t="s">
        <v>3253</v>
      </c>
      <c r="E14" s="322" t="s">
        <v>3254</v>
      </c>
      <c r="F14" s="323">
        <v>2000</v>
      </c>
      <c r="G14" s="324">
        <v>0.00202546296296296</v>
      </c>
      <c r="H14" s="325">
        <f t="shared" si="12"/>
        <v>987428.571428573</v>
      </c>
      <c r="I14" s="375">
        <v>13.56</v>
      </c>
      <c r="J14" s="376" t="s">
        <v>3248</v>
      </c>
      <c r="K14" s="377">
        <f t="shared" si="13"/>
        <v>21822622.3091977</v>
      </c>
      <c r="L14" s="336" t="s">
        <v>3255</v>
      </c>
      <c r="M14" s="378">
        <f t="shared" si="10"/>
        <v>76.4699116520315</v>
      </c>
      <c r="N14" s="379">
        <f>1200*V14</f>
        <v>313.734549592651</v>
      </c>
      <c r="O14" s="379"/>
      <c r="P14" s="379">
        <v>-11</v>
      </c>
      <c r="Q14" s="379"/>
      <c r="R14" s="379"/>
      <c r="S14" s="379"/>
      <c r="T14" s="379"/>
      <c r="U14" s="398">
        <f t="shared" si="3"/>
        <v>4105.08049247634</v>
      </c>
      <c r="V14" s="402">
        <f>Z14/(Z14+Z31+Z48+Z53+Z60+Z65+Z72+Z75)</f>
        <v>0.261445457993876</v>
      </c>
      <c r="W14" s="403">
        <f t="shared" si="11"/>
        <v>302.734549592651</v>
      </c>
      <c r="X14" s="404">
        <f t="shared" si="14"/>
        <v>149464.371913172</v>
      </c>
      <c r="Y14" s="377">
        <f t="shared" si="5"/>
        <v>66914</v>
      </c>
      <c r="Z14" s="426">
        <f t="shared" si="6"/>
        <v>135.531828703703</v>
      </c>
      <c r="AA14" s="427">
        <f t="shared" si="7"/>
        <v>167.202720888947</v>
      </c>
      <c r="AB14" s="428"/>
      <c r="AC14" s="428">
        <f t="shared" si="15"/>
        <v>28000</v>
      </c>
      <c r="AD14" s="429"/>
      <c r="AE14" s="429"/>
      <c r="AF14" s="428">
        <f t="shared" si="16"/>
        <v>1824400.91351485</v>
      </c>
      <c r="AG14" s="441"/>
    </row>
    <row r="15" s="295" customFormat="1" customHeight="1" spans="1:32">
      <c r="A15" s="328"/>
      <c r="B15" s="337"/>
      <c r="C15" s="320">
        <v>0.0452479338842975</v>
      </c>
      <c r="D15" s="331"/>
      <c r="E15" s="332" t="s">
        <v>3198</v>
      </c>
      <c r="F15" s="338"/>
      <c r="G15" s="334">
        <v>1</v>
      </c>
      <c r="H15" s="335"/>
      <c r="I15" s="380">
        <v>0.310339</v>
      </c>
      <c r="J15" s="381" t="s">
        <v>3248</v>
      </c>
      <c r="K15" s="382"/>
      <c r="L15" s="337"/>
      <c r="M15" s="383">
        <f t="shared" si="10"/>
        <v>37754.2878099173</v>
      </c>
      <c r="N15" s="384">
        <f>ROUNDUP($AB$4*$C15,0)+16000</f>
        <v>54914</v>
      </c>
      <c r="O15" s="384">
        <v>31909</v>
      </c>
      <c r="P15" s="384">
        <v>33909</v>
      </c>
      <c r="Q15" s="384"/>
      <c r="R15" s="384"/>
      <c r="S15" s="384"/>
      <c r="T15" s="384"/>
      <c r="U15" s="405">
        <f t="shared" si="3"/>
        <v>37467.848148</v>
      </c>
      <c r="V15" s="406"/>
      <c r="W15" s="403">
        <f t="shared" si="11"/>
        <v>120732</v>
      </c>
      <c r="X15" s="408"/>
      <c r="Y15" s="382">
        <f t="shared" si="5"/>
        <v>66914</v>
      </c>
      <c r="Z15" s="430">
        <f t="shared" si="6"/>
        <v>66914</v>
      </c>
      <c r="AA15" s="431">
        <f t="shared" si="7"/>
        <v>53818</v>
      </c>
      <c r="AB15" s="432"/>
      <c r="AC15" s="432">
        <f t="shared" si="15"/>
        <v>28000</v>
      </c>
      <c r="AD15" s="433"/>
      <c r="AE15" s="433"/>
      <c r="AF15" s="432"/>
    </row>
    <row r="16" s="295" customFormat="1" customHeight="1" spans="1:34">
      <c r="A16" s="310"/>
      <c r="B16" s="311" t="s">
        <v>3256</v>
      </c>
      <c r="C16" s="312">
        <v>0.0452479338842975</v>
      </c>
      <c r="D16" s="313" t="s">
        <v>3257</v>
      </c>
      <c r="E16" s="314" t="s">
        <v>3258</v>
      </c>
      <c r="F16" s="315">
        <v>500</v>
      </c>
      <c r="G16" s="316">
        <v>0.000754830917874396</v>
      </c>
      <c r="H16" s="317">
        <f t="shared" ref="H16:H18" si="19">F16/G16</f>
        <v>662400</v>
      </c>
      <c r="I16" s="369">
        <f t="shared" si="17"/>
        <v>32.3</v>
      </c>
      <c r="J16" s="370" t="s">
        <v>3248</v>
      </c>
      <c r="K16" s="371">
        <f t="shared" ref="K16:K18" si="20">F16/C16/G16</f>
        <v>14639342.4657534</v>
      </c>
      <c r="L16" s="372"/>
      <c r="M16" s="373">
        <f t="shared" si="10"/>
        <v>28.498103721254</v>
      </c>
      <c r="N16" s="374">
        <v>15</v>
      </c>
      <c r="O16" s="374">
        <v>15</v>
      </c>
      <c r="P16" s="374">
        <v>15</v>
      </c>
      <c r="Q16" s="374"/>
      <c r="R16" s="374"/>
      <c r="S16" s="374"/>
      <c r="T16" s="374"/>
      <c r="U16" s="398">
        <f t="shared" si="3"/>
        <v>1453.5</v>
      </c>
      <c r="V16" s="399">
        <f>15/116</f>
        <v>0.129310344827586</v>
      </c>
      <c r="W16" s="400">
        <f t="shared" si="11"/>
        <v>45</v>
      </c>
      <c r="X16" s="401">
        <f t="shared" ref="X16:X18" si="21">W16/G16</f>
        <v>59616</v>
      </c>
      <c r="Y16" s="371">
        <f t="shared" si="5"/>
        <v>38914</v>
      </c>
      <c r="Z16" s="422">
        <f t="shared" si="6"/>
        <v>29.3734903381642</v>
      </c>
      <c r="AA16" s="423">
        <f t="shared" si="7"/>
        <v>15.6265096618358</v>
      </c>
      <c r="AB16" s="424">
        <f t="shared" ref="AB16:AB23" si="22">$AB$4*C16</f>
        <v>38913.2231404959</v>
      </c>
      <c r="AC16" s="424"/>
      <c r="AD16" s="425"/>
      <c r="AE16" s="425"/>
      <c r="AF16" s="424">
        <f t="shared" ref="AF16:AF18" si="23">AA16/G16/C16</f>
        <v>457523.652968037</v>
      </c>
      <c r="AG16" s="440"/>
      <c r="AH16" s="439">
        <f t="shared" si="18"/>
        <v>2180.25</v>
      </c>
    </row>
    <row r="17" s="295" customFormat="1" customHeight="1" spans="1:34">
      <c r="A17" s="318"/>
      <c r="B17" s="339"/>
      <c r="C17" s="320">
        <v>0.0452479338842975</v>
      </c>
      <c r="D17" s="326" t="s">
        <v>3257</v>
      </c>
      <c r="E17" s="322" t="s">
        <v>3259</v>
      </c>
      <c r="F17" s="323">
        <v>500</v>
      </c>
      <c r="G17" s="324">
        <v>0.00194783197831978</v>
      </c>
      <c r="H17" s="325">
        <f t="shared" si="19"/>
        <v>256695.652173913</v>
      </c>
      <c r="I17" s="375">
        <f t="shared" si="17"/>
        <v>32.3</v>
      </c>
      <c r="J17" s="376" t="s">
        <v>3248</v>
      </c>
      <c r="K17" s="377">
        <f t="shared" si="20"/>
        <v>5673091.12567005</v>
      </c>
      <c r="L17" s="339"/>
      <c r="M17" s="378">
        <f t="shared" si="10"/>
        <v>73.5390091148456</v>
      </c>
      <c r="N17" s="379">
        <v>38</v>
      </c>
      <c r="O17" s="379">
        <v>38</v>
      </c>
      <c r="P17" s="379">
        <v>39</v>
      </c>
      <c r="Q17" s="379"/>
      <c r="R17" s="379"/>
      <c r="S17" s="379"/>
      <c r="T17" s="379"/>
      <c r="U17" s="398">
        <f t="shared" si="3"/>
        <v>3714.5</v>
      </c>
      <c r="V17" s="402">
        <f>39/116</f>
        <v>0.336206896551724</v>
      </c>
      <c r="W17" s="403">
        <f t="shared" si="11"/>
        <v>115</v>
      </c>
      <c r="X17" s="404">
        <f t="shared" si="21"/>
        <v>59040.0000000001</v>
      </c>
      <c r="Y17" s="377">
        <f t="shared" si="5"/>
        <v>38914</v>
      </c>
      <c r="Z17" s="426">
        <f t="shared" si="6"/>
        <v>75.7979336043359</v>
      </c>
      <c r="AA17" s="427">
        <f t="shared" si="7"/>
        <v>39.2020663956641</v>
      </c>
      <c r="AB17" s="428"/>
      <c r="AC17" s="428"/>
      <c r="AD17" s="429"/>
      <c r="AE17" s="429"/>
      <c r="AF17" s="428">
        <f t="shared" si="23"/>
        <v>444793.78995434</v>
      </c>
      <c r="AG17" s="440"/>
      <c r="AH17" s="439">
        <f t="shared" si="18"/>
        <v>5571.75</v>
      </c>
    </row>
    <row r="18" s="295" customFormat="1" customHeight="1" spans="1:34">
      <c r="A18" s="318"/>
      <c r="B18" s="339"/>
      <c r="C18" s="320">
        <v>0.0452479338842975</v>
      </c>
      <c r="D18" s="326" t="s">
        <v>3257</v>
      </c>
      <c r="E18" s="322" t="s">
        <v>3260</v>
      </c>
      <c r="F18" s="327">
        <v>500</v>
      </c>
      <c r="G18" s="324">
        <v>0.0030715811965812</v>
      </c>
      <c r="H18" s="325">
        <f t="shared" si="19"/>
        <v>162782.608695652</v>
      </c>
      <c r="I18" s="375">
        <f t="shared" si="17"/>
        <v>32.3</v>
      </c>
      <c r="J18" s="376" t="s">
        <v>3248</v>
      </c>
      <c r="K18" s="377">
        <f t="shared" si="20"/>
        <v>3597569.98213222</v>
      </c>
      <c r="L18" s="339"/>
      <c r="M18" s="378">
        <f t="shared" si="10"/>
        <v>115.965360527257</v>
      </c>
      <c r="N18" s="379">
        <v>59</v>
      </c>
      <c r="O18" s="379">
        <v>61</v>
      </c>
      <c r="P18" s="379">
        <v>61</v>
      </c>
      <c r="Q18" s="379"/>
      <c r="R18" s="379"/>
      <c r="S18" s="379"/>
      <c r="T18" s="379"/>
      <c r="U18" s="398">
        <f t="shared" si="3"/>
        <v>5846.3</v>
      </c>
      <c r="V18" s="402">
        <f>62/116</f>
        <v>0.53448275862069</v>
      </c>
      <c r="W18" s="403">
        <f t="shared" si="11"/>
        <v>181</v>
      </c>
      <c r="X18" s="404">
        <f t="shared" si="21"/>
        <v>58927.304347826</v>
      </c>
      <c r="Y18" s="377">
        <f t="shared" si="5"/>
        <v>38914</v>
      </c>
      <c r="Z18" s="426">
        <f t="shared" si="6"/>
        <v>119.527510683761</v>
      </c>
      <c r="AA18" s="427">
        <f t="shared" si="7"/>
        <v>61.4724893162392</v>
      </c>
      <c r="AB18" s="428"/>
      <c r="AC18" s="428"/>
      <c r="AD18" s="429"/>
      <c r="AE18" s="429"/>
      <c r="AF18" s="428">
        <f t="shared" si="23"/>
        <v>442303.164582091</v>
      </c>
      <c r="AG18" s="440"/>
      <c r="AH18" s="439">
        <f t="shared" si="18"/>
        <v>8769.45</v>
      </c>
    </row>
    <row r="19" s="295" customFormat="1" customHeight="1" spans="1:32">
      <c r="A19" s="328"/>
      <c r="B19" s="337"/>
      <c r="C19" s="330">
        <v>0.0452479338842975</v>
      </c>
      <c r="D19" s="331"/>
      <c r="E19" s="332" t="s">
        <v>3198</v>
      </c>
      <c r="F19" s="338"/>
      <c r="G19" s="334">
        <v>1</v>
      </c>
      <c r="H19" s="335"/>
      <c r="I19" s="380">
        <v>0.53972</v>
      </c>
      <c r="J19" s="381" t="s">
        <v>3248</v>
      </c>
      <c r="K19" s="382"/>
      <c r="L19" s="337"/>
      <c r="M19" s="383">
        <f t="shared" si="10"/>
        <v>37754.2878099173</v>
      </c>
      <c r="N19" s="384">
        <f>ROUNDUP($AB$4*$C19,0)</f>
        <v>38914</v>
      </c>
      <c r="O19" s="384">
        <v>19909</v>
      </c>
      <c r="P19" s="384">
        <v>19909</v>
      </c>
      <c r="Q19" s="384"/>
      <c r="R19" s="384"/>
      <c r="S19" s="384"/>
      <c r="T19" s="384"/>
      <c r="U19" s="405">
        <f t="shared" si="3"/>
        <v>42493.23504</v>
      </c>
      <c r="V19" s="406"/>
      <c r="W19" s="407">
        <f t="shared" si="11"/>
        <v>78732</v>
      </c>
      <c r="X19" s="408"/>
      <c r="Y19" s="382">
        <f t="shared" si="5"/>
        <v>38914</v>
      </c>
      <c r="Z19" s="430">
        <f t="shared" si="6"/>
        <v>38914</v>
      </c>
      <c r="AA19" s="431">
        <f t="shared" si="7"/>
        <v>39818</v>
      </c>
      <c r="AB19" s="432"/>
      <c r="AC19" s="432"/>
      <c r="AD19" s="433"/>
      <c r="AE19" s="433"/>
      <c r="AF19" s="432"/>
    </row>
    <row r="20" s="295" customFormat="1" customHeight="1" spans="1:32">
      <c r="A20" s="310"/>
      <c r="B20" s="311" t="s">
        <v>3261</v>
      </c>
      <c r="C20" s="312">
        <v>0.0452479338842975</v>
      </c>
      <c r="D20" s="340" t="s">
        <v>3246</v>
      </c>
      <c r="E20" s="314" t="s">
        <v>3262</v>
      </c>
      <c r="F20" s="315">
        <v>500</v>
      </c>
      <c r="G20" s="341">
        <v>0.00385802469136</v>
      </c>
      <c r="H20" s="317">
        <f t="shared" ref="H20:H23" si="24">F20/G20</f>
        <v>129599.999999934</v>
      </c>
      <c r="I20" s="369">
        <v>27</v>
      </c>
      <c r="J20" s="370" t="s">
        <v>3248</v>
      </c>
      <c r="K20" s="371">
        <f t="shared" ref="K20:K23" si="25">F20/C20/G20</f>
        <v>2864219.17808073</v>
      </c>
      <c r="L20" s="385" t="s">
        <v>3249</v>
      </c>
      <c r="M20" s="373">
        <f t="shared" si="10"/>
        <v>145.656974575373</v>
      </c>
      <c r="N20" s="374">
        <v>74</v>
      </c>
      <c r="O20" s="374">
        <v>77</v>
      </c>
      <c r="P20" s="374">
        <v>76</v>
      </c>
      <c r="Q20" s="374"/>
      <c r="R20" s="374"/>
      <c r="S20" s="374"/>
      <c r="T20" s="374"/>
      <c r="U20" s="398">
        <f t="shared" si="3"/>
        <v>6129</v>
      </c>
      <c r="V20" s="410"/>
      <c r="W20" s="400">
        <f t="shared" si="11"/>
        <v>227</v>
      </c>
      <c r="X20" s="401">
        <f t="shared" ref="X20:X23" si="26">W20/G20</f>
        <v>58838.3999999699</v>
      </c>
      <c r="Y20" s="371">
        <f t="shared" si="5"/>
        <v>38914</v>
      </c>
      <c r="Z20" s="422">
        <f t="shared" si="6"/>
        <v>150.131172839583</v>
      </c>
      <c r="AA20" s="423">
        <f t="shared" si="7"/>
        <v>76.868827160417</v>
      </c>
      <c r="AB20" s="424">
        <f t="shared" si="22"/>
        <v>38913.2231404959</v>
      </c>
      <c r="AC20" s="424"/>
      <c r="AD20" s="425"/>
      <c r="AE20" s="425"/>
      <c r="AF20" s="424">
        <f t="shared" ref="AF20:AF23" si="27">AA20/G20/C20</f>
        <v>440338.337898878</v>
      </c>
    </row>
    <row r="21" s="295" customFormat="1" customHeight="1" spans="1:32">
      <c r="A21" s="318"/>
      <c r="B21" s="339"/>
      <c r="C21" s="320">
        <v>0.0452479338842975</v>
      </c>
      <c r="D21" s="326" t="s">
        <v>3246</v>
      </c>
      <c r="E21" s="322" t="s">
        <v>3263</v>
      </c>
      <c r="F21" s="323">
        <v>500</v>
      </c>
      <c r="G21" s="324">
        <v>0.00254065040650406</v>
      </c>
      <c r="H21" s="325">
        <f t="shared" si="24"/>
        <v>196800</v>
      </c>
      <c r="I21" s="375">
        <v>27</v>
      </c>
      <c r="J21" s="376" t="s">
        <v>3248</v>
      </c>
      <c r="K21" s="377">
        <f t="shared" si="25"/>
        <v>4349369.86301371</v>
      </c>
      <c r="L21" s="339"/>
      <c r="M21" s="378">
        <f t="shared" si="10"/>
        <v>95.9204466715378</v>
      </c>
      <c r="N21" s="379">
        <v>49</v>
      </c>
      <c r="O21" s="379">
        <v>50</v>
      </c>
      <c r="P21" s="379">
        <v>51</v>
      </c>
      <c r="Q21" s="379"/>
      <c r="R21" s="379"/>
      <c r="S21" s="379"/>
      <c r="T21" s="379"/>
      <c r="U21" s="398">
        <f t="shared" si="3"/>
        <v>4050</v>
      </c>
      <c r="V21" s="402"/>
      <c r="W21" s="403">
        <f t="shared" si="11"/>
        <v>150</v>
      </c>
      <c r="X21" s="404">
        <f t="shared" si="26"/>
        <v>59040.0000000001</v>
      </c>
      <c r="Y21" s="377">
        <f t="shared" si="5"/>
        <v>38914</v>
      </c>
      <c r="Z21" s="426">
        <f t="shared" si="6"/>
        <v>98.866869918699</v>
      </c>
      <c r="AA21" s="427">
        <f t="shared" si="7"/>
        <v>51.133130081301</v>
      </c>
      <c r="AB21" s="428">
        <f t="shared" si="22"/>
        <v>38913.2231404959</v>
      </c>
      <c r="AC21" s="428"/>
      <c r="AD21" s="429"/>
      <c r="AE21" s="429"/>
      <c r="AF21" s="428">
        <f t="shared" si="27"/>
        <v>444793.789954341</v>
      </c>
    </row>
    <row r="22" s="295" customFormat="1" customHeight="1" spans="1:32">
      <c r="A22" s="318"/>
      <c r="B22" s="339"/>
      <c r="C22" s="320">
        <v>0.0452479338842975</v>
      </c>
      <c r="D22" s="326" t="s">
        <v>3246</v>
      </c>
      <c r="E22" s="322" t="s">
        <v>3264</v>
      </c>
      <c r="F22" s="323">
        <v>500</v>
      </c>
      <c r="G22" s="324">
        <v>0.00130837359098229</v>
      </c>
      <c r="H22" s="325">
        <f t="shared" si="24"/>
        <v>382153.846153845</v>
      </c>
      <c r="I22" s="375">
        <v>27</v>
      </c>
      <c r="J22" s="376" t="s">
        <v>3248</v>
      </c>
      <c r="K22" s="377">
        <f t="shared" si="25"/>
        <v>8445774.49947311</v>
      </c>
      <c r="L22" s="339"/>
      <c r="M22" s="378">
        <f t="shared" si="10"/>
        <v>49.3967131168405</v>
      </c>
      <c r="N22" s="379">
        <v>25</v>
      </c>
      <c r="O22" s="379">
        <v>26</v>
      </c>
      <c r="P22" s="379">
        <v>26</v>
      </c>
      <c r="Q22" s="379"/>
      <c r="R22" s="379"/>
      <c r="S22" s="379"/>
      <c r="T22" s="379"/>
      <c r="U22" s="398">
        <f t="shared" si="3"/>
        <v>2079</v>
      </c>
      <c r="V22" s="402"/>
      <c r="W22" s="403">
        <f t="shared" si="11"/>
        <v>77</v>
      </c>
      <c r="X22" s="404">
        <f t="shared" si="26"/>
        <v>58851.6923076922</v>
      </c>
      <c r="Y22" s="377">
        <f t="shared" si="5"/>
        <v>38914</v>
      </c>
      <c r="Z22" s="426">
        <f t="shared" si="6"/>
        <v>50.9140499194848</v>
      </c>
      <c r="AA22" s="427">
        <f t="shared" si="7"/>
        <v>26.0859500805152</v>
      </c>
      <c r="AB22" s="428">
        <f t="shared" si="22"/>
        <v>38913.2231404959</v>
      </c>
      <c r="AC22" s="428"/>
      <c r="AD22" s="429"/>
      <c r="AE22" s="429"/>
      <c r="AF22" s="428">
        <f t="shared" si="27"/>
        <v>440632.103969087</v>
      </c>
    </row>
    <row r="23" s="295" customFormat="1" customHeight="1" spans="1:32">
      <c r="A23" s="318"/>
      <c r="B23" s="339"/>
      <c r="C23" s="320">
        <v>0.0452479338842975</v>
      </c>
      <c r="D23" s="326" t="s">
        <v>3246</v>
      </c>
      <c r="E23" s="322" t="s">
        <v>3265</v>
      </c>
      <c r="F23" s="323">
        <v>500</v>
      </c>
      <c r="G23" s="324">
        <v>0.000956119162640902</v>
      </c>
      <c r="H23" s="325">
        <f t="shared" si="24"/>
        <v>522947.368421053</v>
      </c>
      <c r="I23" s="375">
        <v>27</v>
      </c>
      <c r="J23" s="376" t="s">
        <v>3248</v>
      </c>
      <c r="K23" s="377">
        <f t="shared" si="25"/>
        <v>11557375.630858</v>
      </c>
      <c r="L23" s="339"/>
      <c r="M23" s="378">
        <f t="shared" si="10"/>
        <v>36.0975980469218</v>
      </c>
      <c r="N23" s="379">
        <v>19</v>
      </c>
      <c r="O23" s="379">
        <v>19</v>
      </c>
      <c r="P23" s="379">
        <v>19</v>
      </c>
      <c r="Q23" s="379"/>
      <c r="R23" s="379"/>
      <c r="S23" s="379"/>
      <c r="T23" s="379"/>
      <c r="U23" s="398">
        <f t="shared" si="3"/>
        <v>1539</v>
      </c>
      <c r="V23" s="402"/>
      <c r="W23" s="403">
        <f t="shared" si="11"/>
        <v>57</v>
      </c>
      <c r="X23" s="404">
        <f t="shared" si="26"/>
        <v>59616</v>
      </c>
      <c r="Y23" s="377">
        <f t="shared" si="5"/>
        <v>38914</v>
      </c>
      <c r="Z23" s="426">
        <f t="shared" si="6"/>
        <v>37.2064210950081</v>
      </c>
      <c r="AA23" s="427">
        <f t="shared" si="7"/>
        <v>19.7935789049919</v>
      </c>
      <c r="AB23" s="428">
        <f t="shared" si="22"/>
        <v>38913.2231404959</v>
      </c>
      <c r="AC23" s="428"/>
      <c r="AD23" s="429"/>
      <c r="AE23" s="429"/>
      <c r="AF23" s="428">
        <f t="shared" si="27"/>
        <v>457523.652968036</v>
      </c>
    </row>
    <row r="24" s="295" customFormat="1" customHeight="1" spans="1:32">
      <c r="A24" s="328"/>
      <c r="B24" s="337"/>
      <c r="C24" s="330">
        <v>0.0452479338842975</v>
      </c>
      <c r="D24" s="331"/>
      <c r="E24" s="332" t="s">
        <v>3198</v>
      </c>
      <c r="F24" s="333"/>
      <c r="G24" s="334">
        <v>1</v>
      </c>
      <c r="H24" s="335"/>
      <c r="I24" s="380">
        <v>1.093448</v>
      </c>
      <c r="J24" s="381" t="s">
        <v>3248</v>
      </c>
      <c r="K24" s="382"/>
      <c r="L24" s="337"/>
      <c r="M24" s="383">
        <f t="shared" si="10"/>
        <v>37754.2878099173</v>
      </c>
      <c r="N24" s="384">
        <f>ROUNDUP($AB$4*$C24,0)</f>
        <v>38914</v>
      </c>
      <c r="O24" s="384">
        <v>19909</v>
      </c>
      <c r="P24" s="384">
        <v>19909</v>
      </c>
      <c r="Q24" s="384"/>
      <c r="R24" s="384"/>
      <c r="S24" s="384"/>
      <c r="T24" s="384"/>
      <c r="U24" s="405">
        <f t="shared" si="3"/>
        <v>86089.347936</v>
      </c>
      <c r="V24" s="406"/>
      <c r="W24" s="407">
        <f t="shared" si="11"/>
        <v>78732</v>
      </c>
      <c r="X24" s="408"/>
      <c r="Y24" s="382">
        <f t="shared" si="5"/>
        <v>38914</v>
      </c>
      <c r="Z24" s="430">
        <f t="shared" si="6"/>
        <v>38914</v>
      </c>
      <c r="AA24" s="431">
        <f t="shared" si="7"/>
        <v>39818</v>
      </c>
      <c r="AB24" s="432"/>
      <c r="AC24" s="432"/>
      <c r="AD24" s="433"/>
      <c r="AE24" s="433"/>
      <c r="AF24" s="432"/>
    </row>
    <row r="25" s="295" customFormat="1" customHeight="1" spans="1:34">
      <c r="A25" s="310"/>
      <c r="B25" s="311" t="s">
        <v>3266</v>
      </c>
      <c r="C25" s="312">
        <v>0.0452479338842975</v>
      </c>
      <c r="D25" s="313" t="s">
        <v>3267</v>
      </c>
      <c r="E25" s="311" t="s">
        <v>3268</v>
      </c>
      <c r="F25" s="315">
        <v>500</v>
      </c>
      <c r="G25" s="341">
        <v>0.00351037851038</v>
      </c>
      <c r="H25" s="317">
        <f t="shared" ref="H25:H27" si="28">F25/G25</f>
        <v>142434.782608635</v>
      </c>
      <c r="I25" s="369">
        <f>32.3</f>
        <v>32.3</v>
      </c>
      <c r="J25" s="370" t="s">
        <v>3248</v>
      </c>
      <c r="K25" s="371">
        <f t="shared" ref="K25:K27" si="29">F25/C25/G25</f>
        <v>3147873.73436436</v>
      </c>
      <c r="L25" s="372"/>
      <c r="M25" s="373">
        <f t="shared" si="10"/>
        <v>132.531840602635</v>
      </c>
      <c r="N25" s="374">
        <v>67</v>
      </c>
      <c r="O25" s="374">
        <v>70</v>
      </c>
      <c r="P25" s="374">
        <v>70</v>
      </c>
      <c r="Q25" s="374"/>
      <c r="R25" s="374"/>
      <c r="S25" s="374"/>
      <c r="T25" s="374"/>
      <c r="U25" s="398">
        <f t="shared" si="3"/>
        <v>6686.1</v>
      </c>
      <c r="V25" s="399">
        <f>70/196</f>
        <v>0.357142857142857</v>
      </c>
      <c r="W25" s="400">
        <f t="shared" si="11"/>
        <v>207</v>
      </c>
      <c r="X25" s="401">
        <f t="shared" ref="X25:X27" si="30">W25/G25</f>
        <v>58967.999999975</v>
      </c>
      <c r="Y25" s="371">
        <f t="shared" si="5"/>
        <v>38914</v>
      </c>
      <c r="Z25" s="422">
        <f t="shared" si="6"/>
        <v>136.602869352927</v>
      </c>
      <c r="AA25" s="423">
        <f t="shared" si="7"/>
        <v>70.3971306470727</v>
      </c>
      <c r="AB25" s="424">
        <f t="shared" ref="AB25:AB30" si="31">$AB$4*C25</f>
        <v>38913.2231404959</v>
      </c>
      <c r="AC25" s="424"/>
      <c r="AD25" s="425"/>
      <c r="AE25" s="425"/>
      <c r="AF25" s="424">
        <f t="shared" ref="AF25:AF27" si="32">AA25/G25/C25</f>
        <v>443202.557077073</v>
      </c>
      <c r="AG25" s="440"/>
      <c r="AH25" s="439">
        <f>U25*1.5</f>
        <v>10029.15</v>
      </c>
    </row>
    <row r="26" s="295" customFormat="1" customHeight="1" spans="1:34">
      <c r="A26" s="318"/>
      <c r="B26" s="339"/>
      <c r="C26" s="320">
        <v>0.0452479338842975</v>
      </c>
      <c r="D26" s="326" t="s">
        <v>3267</v>
      </c>
      <c r="E26" s="336" t="s">
        <v>3269</v>
      </c>
      <c r="F26" s="323">
        <v>500</v>
      </c>
      <c r="G26" s="342">
        <v>0.00627903600465</v>
      </c>
      <c r="H26" s="325">
        <f t="shared" si="28"/>
        <v>79630.0578034144</v>
      </c>
      <c r="I26" s="375">
        <v>17.3</v>
      </c>
      <c r="J26" s="376" t="s">
        <v>3248</v>
      </c>
      <c r="K26" s="377">
        <f t="shared" si="29"/>
        <v>1759860.63821245</v>
      </c>
      <c r="L26" s="339"/>
      <c r="M26" s="378">
        <f t="shared" si="10"/>
        <v>237.06053248839</v>
      </c>
      <c r="N26" s="379">
        <v>120</v>
      </c>
      <c r="O26" s="379">
        <v>125</v>
      </c>
      <c r="P26" s="379">
        <v>125</v>
      </c>
      <c r="Q26" s="379"/>
      <c r="R26" s="379"/>
      <c r="S26" s="379"/>
      <c r="T26" s="379"/>
      <c r="U26" s="398">
        <f t="shared" si="3"/>
        <v>6401</v>
      </c>
      <c r="V26" s="402">
        <f>126/196</f>
        <v>0.642857142857143</v>
      </c>
      <c r="W26" s="403">
        <f t="shared" si="11"/>
        <v>370</v>
      </c>
      <c r="X26" s="404">
        <f t="shared" si="30"/>
        <v>58926.2427745267</v>
      </c>
      <c r="Y26" s="377">
        <f t="shared" si="5"/>
        <v>38914</v>
      </c>
      <c r="Z26" s="426">
        <f t="shared" si="6"/>
        <v>244.34240708495</v>
      </c>
      <c r="AA26" s="427">
        <f t="shared" si="7"/>
        <v>125.65759291505</v>
      </c>
      <c r="AB26" s="428"/>
      <c r="AC26" s="428"/>
      <c r="AD26" s="429"/>
      <c r="AE26" s="429"/>
      <c r="AF26" s="428">
        <f t="shared" si="32"/>
        <v>442279.703327439</v>
      </c>
      <c r="AG26" s="440"/>
      <c r="AH26" s="439">
        <f>U26*1.5</f>
        <v>9601.5</v>
      </c>
    </row>
    <row r="27" s="295" customFormat="1" customHeight="1" spans="1:34">
      <c r="A27" s="318"/>
      <c r="B27" s="339"/>
      <c r="C27" s="320">
        <v>0.0452479338842975</v>
      </c>
      <c r="D27" s="326" t="s">
        <v>3270</v>
      </c>
      <c r="E27" s="336" t="s">
        <v>3268</v>
      </c>
      <c r="F27" s="323">
        <v>3000</v>
      </c>
      <c r="G27" s="342">
        <v>0.00271739130434783</v>
      </c>
      <c r="H27" s="325">
        <f t="shared" si="28"/>
        <v>1104000</v>
      </c>
      <c r="I27" s="375">
        <v>14.3</v>
      </c>
      <c r="J27" s="376" t="s">
        <v>3248</v>
      </c>
      <c r="K27" s="377">
        <f t="shared" si="29"/>
        <v>24398904.109589</v>
      </c>
      <c r="L27" s="339"/>
      <c r="M27" s="378">
        <f t="shared" si="10"/>
        <v>102.593173396515</v>
      </c>
      <c r="N27" s="379">
        <v>240</v>
      </c>
      <c r="O27" s="379"/>
      <c r="P27" s="379"/>
      <c r="Q27" s="379"/>
      <c r="R27" s="379"/>
      <c r="S27" s="379"/>
      <c r="T27" s="379"/>
      <c r="U27" s="411">
        <f t="shared" si="3"/>
        <v>3432</v>
      </c>
      <c r="V27" s="402"/>
      <c r="W27" s="403">
        <f t="shared" si="11"/>
        <v>240</v>
      </c>
      <c r="X27" s="404">
        <f t="shared" si="30"/>
        <v>88319.9999999999</v>
      </c>
      <c r="Y27" s="377">
        <f t="shared" si="5"/>
        <v>38914</v>
      </c>
      <c r="Z27" s="426">
        <f t="shared" si="6"/>
        <v>105.744565217391</v>
      </c>
      <c r="AA27" s="427">
        <f t="shared" si="7"/>
        <v>134.255434782609</v>
      </c>
      <c r="AB27" s="428"/>
      <c r="AC27" s="428"/>
      <c r="AD27" s="429"/>
      <c r="AE27" s="429"/>
      <c r="AF27" s="428">
        <f t="shared" si="32"/>
        <v>1091895.15981735</v>
      </c>
      <c r="AG27" s="442"/>
      <c r="AH27" s="439">
        <f t="shared" ref="AH27:AH32" si="33">1500</f>
        <v>1500</v>
      </c>
    </row>
    <row r="28" s="295" customFormat="1" customHeight="1" spans="1:32">
      <c r="A28" s="328"/>
      <c r="B28" s="337"/>
      <c r="C28" s="330">
        <v>0.0452479338842975</v>
      </c>
      <c r="D28" s="331"/>
      <c r="E28" s="343" t="s">
        <v>3198</v>
      </c>
      <c r="F28" s="333"/>
      <c r="G28" s="334">
        <v>1</v>
      </c>
      <c r="H28" s="335"/>
      <c r="I28" s="380">
        <v>1.0382915</v>
      </c>
      <c r="J28" s="381" t="s">
        <v>3248</v>
      </c>
      <c r="K28" s="382"/>
      <c r="L28" s="337"/>
      <c r="M28" s="383">
        <f t="shared" si="10"/>
        <v>37754.2878099173</v>
      </c>
      <c r="N28" s="384">
        <f>ROUNDUP($AB$4*$C28,0)</f>
        <v>38914</v>
      </c>
      <c r="O28" s="384">
        <v>19909</v>
      </c>
      <c r="P28" s="384">
        <v>19909</v>
      </c>
      <c r="Q28" s="384"/>
      <c r="R28" s="384"/>
      <c r="S28" s="384"/>
      <c r="T28" s="384"/>
      <c r="U28" s="405">
        <f t="shared" si="3"/>
        <v>81746.766378</v>
      </c>
      <c r="V28" s="406"/>
      <c r="W28" s="407">
        <f t="shared" si="11"/>
        <v>78732</v>
      </c>
      <c r="X28" s="408"/>
      <c r="Y28" s="382">
        <f t="shared" si="5"/>
        <v>38914</v>
      </c>
      <c r="Z28" s="430">
        <f t="shared" si="6"/>
        <v>38914</v>
      </c>
      <c r="AA28" s="431">
        <f t="shared" si="7"/>
        <v>39818</v>
      </c>
      <c r="AB28" s="432"/>
      <c r="AC28" s="432"/>
      <c r="AD28" s="433"/>
      <c r="AE28" s="433"/>
      <c r="AF28" s="432"/>
    </row>
    <row r="29" s="295" customFormat="1" ht="97.5" customHeight="1" spans="1:32">
      <c r="A29" s="344"/>
      <c r="B29" s="345" t="s">
        <v>3271</v>
      </c>
      <c r="C29" s="346">
        <v>0.0452479338842975</v>
      </c>
      <c r="D29" s="347" t="s">
        <v>3272</v>
      </c>
      <c r="E29" s="345"/>
      <c r="F29" s="348"/>
      <c r="G29" s="349"/>
      <c r="H29" s="350"/>
      <c r="I29" s="386"/>
      <c r="J29" s="387"/>
      <c r="K29" s="388"/>
      <c r="L29" s="348"/>
      <c r="M29" s="389"/>
      <c r="N29" s="390"/>
      <c r="O29" s="390"/>
      <c r="P29" s="390"/>
      <c r="Q29" s="390"/>
      <c r="R29" s="390"/>
      <c r="S29" s="390"/>
      <c r="T29" s="390"/>
      <c r="U29" s="412">
        <f t="shared" si="3"/>
        <v>0</v>
      </c>
      <c r="V29" s="413"/>
      <c r="W29" s="407">
        <f t="shared" si="11"/>
        <v>0</v>
      </c>
      <c r="X29" s="414"/>
      <c r="Y29" s="382" t="s">
        <v>2669</v>
      </c>
      <c r="Z29" s="434"/>
      <c r="AA29" s="435">
        <f t="shared" si="7"/>
        <v>0</v>
      </c>
      <c r="AB29" s="436">
        <f t="shared" si="31"/>
        <v>38913.2231404959</v>
      </c>
      <c r="AC29" s="436"/>
      <c r="AD29" s="437"/>
      <c r="AE29" s="437"/>
      <c r="AF29" s="436"/>
    </row>
    <row r="30" s="295" customFormat="1" customHeight="1" spans="1:34">
      <c r="A30" s="310"/>
      <c r="B30" s="351" t="s">
        <v>3273</v>
      </c>
      <c r="C30" s="312">
        <v>0.00454545454545455</v>
      </c>
      <c r="D30" s="340" t="s">
        <v>3274</v>
      </c>
      <c r="E30" s="314" t="s">
        <v>3238</v>
      </c>
      <c r="F30" s="315">
        <v>3000</v>
      </c>
      <c r="G30" s="352">
        <v>0.00625</v>
      </c>
      <c r="H30" s="317">
        <f t="shared" ref="H30:H32" si="34">F30/G30</f>
        <v>480000</v>
      </c>
      <c r="I30" s="369">
        <v>14.3</v>
      </c>
      <c r="J30" s="370" t="s">
        <v>3248</v>
      </c>
      <c r="K30" s="371">
        <f t="shared" ref="K30:K32" si="35">F30/C30/G30</f>
        <v>105600000</v>
      </c>
      <c r="L30" s="372"/>
      <c r="M30" s="373">
        <f t="shared" ref="M30:M37" si="36">C30*$K$3*G30</f>
        <v>23.7041761363637</v>
      </c>
      <c r="N30" s="374">
        <v>112</v>
      </c>
      <c r="O30" s="374">
        <v>88</v>
      </c>
      <c r="P30" s="374">
        <v>100</v>
      </c>
      <c r="Q30" s="374"/>
      <c r="R30" s="374"/>
      <c r="S30" s="374"/>
      <c r="T30" s="374"/>
      <c r="U30" s="411">
        <f t="shared" si="3"/>
        <v>4290</v>
      </c>
      <c r="V30" s="410">
        <f>Z30/(Z30+Z32)</f>
        <v>0.219512195121951</v>
      </c>
      <c r="W30" s="400">
        <f t="shared" si="11"/>
        <v>300</v>
      </c>
      <c r="X30" s="401">
        <f t="shared" ref="X30:X32" si="37">W30/G30</f>
        <v>48000</v>
      </c>
      <c r="Y30" s="371">
        <f t="shared" ref="Y30:Y93" si="38">ROUNDUP($AB$4*C30,0)+AC30+AD30+AE30</f>
        <v>31910</v>
      </c>
      <c r="Z30" s="422">
        <f t="shared" ref="Z30:Z37" si="39">Y30*G30</f>
        <v>199.4375</v>
      </c>
      <c r="AA30" s="423">
        <f t="shared" si="7"/>
        <v>100.5625</v>
      </c>
      <c r="AB30" s="424">
        <f t="shared" si="31"/>
        <v>3909.09090909091</v>
      </c>
      <c r="AC30" s="424">
        <f t="shared" ref="AC30:AC33" si="40">$AC$3</f>
        <v>28000</v>
      </c>
      <c r="AD30" s="425"/>
      <c r="AE30" s="425"/>
      <c r="AF30" s="424">
        <f t="shared" ref="AF30:AF32" si="41">AA30/G30/C30</f>
        <v>3539800</v>
      </c>
      <c r="AG30" s="442"/>
      <c r="AH30" s="439">
        <f t="shared" si="33"/>
        <v>1500</v>
      </c>
    </row>
    <row r="31" s="295" customFormat="1" customHeight="1" spans="1:33">
      <c r="A31" s="318"/>
      <c r="B31" s="336"/>
      <c r="C31" s="320">
        <v>0.00454545454545455</v>
      </c>
      <c r="D31" s="326" t="s">
        <v>3253</v>
      </c>
      <c r="E31" s="322" t="s">
        <v>3275</v>
      </c>
      <c r="F31" s="327">
        <v>2000</v>
      </c>
      <c r="G31" s="324">
        <v>0.000744047619047619</v>
      </c>
      <c r="H31" s="325">
        <f t="shared" si="34"/>
        <v>2688000</v>
      </c>
      <c r="I31" s="375">
        <v>13.56</v>
      </c>
      <c r="J31" s="376" t="s">
        <v>3248</v>
      </c>
      <c r="K31" s="377">
        <f t="shared" si="35"/>
        <v>591360000</v>
      </c>
      <c r="L31" s="336" t="s">
        <v>3255</v>
      </c>
      <c r="M31" s="378">
        <f t="shared" si="36"/>
        <v>2.82192573051948</v>
      </c>
      <c r="N31" s="379">
        <v>20</v>
      </c>
      <c r="O31" s="379">
        <v>4</v>
      </c>
      <c r="P31" s="379">
        <v>12</v>
      </c>
      <c r="Q31" s="379"/>
      <c r="R31" s="379"/>
      <c r="S31" s="379"/>
      <c r="T31" s="379"/>
      <c r="U31" s="398">
        <f t="shared" si="3"/>
        <v>488.16</v>
      </c>
      <c r="V31" s="402">
        <f>Z31/(Z14+Z31+Z48+Z53+Z60+Z65+Z72+Z75)</f>
        <v>0.0458001962197357</v>
      </c>
      <c r="W31" s="403">
        <f t="shared" si="11"/>
        <v>36</v>
      </c>
      <c r="X31" s="404">
        <f t="shared" si="37"/>
        <v>48384</v>
      </c>
      <c r="Y31" s="377">
        <f t="shared" si="38"/>
        <v>31910</v>
      </c>
      <c r="Z31" s="426">
        <f t="shared" si="39"/>
        <v>23.7425595238095</v>
      </c>
      <c r="AA31" s="427">
        <f t="shared" si="7"/>
        <v>12.2574404761905</v>
      </c>
      <c r="AB31" s="428"/>
      <c r="AC31" s="428">
        <f t="shared" si="40"/>
        <v>28000</v>
      </c>
      <c r="AD31" s="429"/>
      <c r="AE31" s="429"/>
      <c r="AF31" s="428">
        <f t="shared" si="41"/>
        <v>3624280</v>
      </c>
      <c r="AG31" s="441"/>
    </row>
    <row r="32" s="295" customFormat="1" customHeight="1" spans="1:34">
      <c r="A32" s="318"/>
      <c r="B32" s="336"/>
      <c r="C32" s="320">
        <v>0.00454545454545455</v>
      </c>
      <c r="D32" s="326" t="s">
        <v>3274</v>
      </c>
      <c r="E32" s="322" t="s">
        <v>3276</v>
      </c>
      <c r="F32" s="323">
        <v>3000</v>
      </c>
      <c r="G32" s="324">
        <v>0.0222222222222222</v>
      </c>
      <c r="H32" s="325">
        <f t="shared" si="34"/>
        <v>135000</v>
      </c>
      <c r="I32" s="375">
        <v>14.3</v>
      </c>
      <c r="J32" s="376" t="s">
        <v>3248</v>
      </c>
      <c r="K32" s="377">
        <f t="shared" si="35"/>
        <v>29700000</v>
      </c>
      <c r="L32" s="339"/>
      <c r="M32" s="378">
        <f t="shared" si="36"/>
        <v>84.2815151515151</v>
      </c>
      <c r="N32" s="379">
        <v>398</v>
      </c>
      <c r="O32" s="379">
        <v>312</v>
      </c>
      <c r="P32" s="379">
        <v>355</v>
      </c>
      <c r="Q32" s="379"/>
      <c r="R32" s="379"/>
      <c r="S32" s="379"/>
      <c r="T32" s="379"/>
      <c r="U32" s="411">
        <f t="shared" si="3"/>
        <v>15229.5</v>
      </c>
      <c r="V32" s="402">
        <f>Z32/(Z30+Z32)</f>
        <v>0.780487804878049</v>
      </c>
      <c r="W32" s="403">
        <f t="shared" si="11"/>
        <v>1065</v>
      </c>
      <c r="X32" s="404">
        <f t="shared" si="37"/>
        <v>47925.0000000001</v>
      </c>
      <c r="Y32" s="377">
        <f t="shared" si="38"/>
        <v>31910</v>
      </c>
      <c r="Z32" s="426">
        <f t="shared" si="39"/>
        <v>709.11111111111</v>
      </c>
      <c r="AA32" s="427">
        <f t="shared" si="7"/>
        <v>355.88888888889</v>
      </c>
      <c r="AB32" s="428"/>
      <c r="AC32" s="428">
        <f t="shared" si="40"/>
        <v>28000</v>
      </c>
      <c r="AD32" s="429"/>
      <c r="AE32" s="429"/>
      <c r="AF32" s="428">
        <f t="shared" si="41"/>
        <v>3523300.00000001</v>
      </c>
      <c r="AG32" s="442"/>
      <c r="AH32" s="439">
        <f t="shared" si="33"/>
        <v>1500</v>
      </c>
    </row>
    <row r="33" s="295" customFormat="1" customHeight="1" spans="1:32">
      <c r="A33" s="328"/>
      <c r="B33" s="343"/>
      <c r="C33" s="330">
        <v>0.00454545454545455</v>
      </c>
      <c r="D33" s="331"/>
      <c r="E33" s="332" t="s">
        <v>3198</v>
      </c>
      <c r="F33" s="333"/>
      <c r="G33" s="334">
        <v>1</v>
      </c>
      <c r="H33" s="353"/>
      <c r="I33" s="380">
        <v>2.07451476</v>
      </c>
      <c r="J33" s="381" t="s">
        <v>3248</v>
      </c>
      <c r="K33" s="382"/>
      <c r="L33" s="337"/>
      <c r="M33" s="383">
        <f t="shared" si="36"/>
        <v>3792.66818181819</v>
      </c>
      <c r="N33" s="384">
        <f>ROUNDUP($AB$4*$C33,0)+16000</f>
        <v>19910</v>
      </c>
      <c r="O33" s="384">
        <v>14000</v>
      </c>
      <c r="P33" s="384">
        <v>16000</v>
      </c>
      <c r="Q33" s="384"/>
      <c r="R33" s="384"/>
      <c r="S33" s="384"/>
      <c r="T33" s="384"/>
      <c r="U33" s="405">
        <f t="shared" si="3"/>
        <v>103539.0316716</v>
      </c>
      <c r="V33" s="406"/>
      <c r="W33" s="407">
        <f t="shared" si="11"/>
        <v>49910</v>
      </c>
      <c r="X33" s="408"/>
      <c r="Y33" s="382">
        <f t="shared" si="38"/>
        <v>31910</v>
      </c>
      <c r="Z33" s="430">
        <f t="shared" si="39"/>
        <v>31910</v>
      </c>
      <c r="AA33" s="431">
        <f t="shared" si="7"/>
        <v>18000</v>
      </c>
      <c r="AB33" s="432"/>
      <c r="AC33" s="432">
        <f t="shared" si="40"/>
        <v>28000</v>
      </c>
      <c r="AD33" s="433"/>
      <c r="AE33" s="433"/>
      <c r="AF33" s="432"/>
    </row>
    <row r="34" s="295" customFormat="1" customHeight="1" spans="1:34">
      <c r="A34" s="310"/>
      <c r="B34" s="311" t="s">
        <v>3277</v>
      </c>
      <c r="C34" s="312">
        <v>0.0452479338842975</v>
      </c>
      <c r="D34" s="313" t="s">
        <v>3278</v>
      </c>
      <c r="E34" s="314" t="s">
        <v>3279</v>
      </c>
      <c r="F34" s="315">
        <v>2000</v>
      </c>
      <c r="G34" s="316">
        <v>0.00558574879227</v>
      </c>
      <c r="H34" s="317">
        <f t="shared" ref="H34:H36" si="42">F34/G34</f>
        <v>358054.054054088</v>
      </c>
      <c r="I34" s="369">
        <f t="shared" ref="I34:I36" si="43">32.3</f>
        <v>32.3</v>
      </c>
      <c r="J34" s="370" t="s">
        <v>3248</v>
      </c>
      <c r="K34" s="371">
        <f t="shared" ref="K34:K36" si="44">F34/C34/G34</f>
        <v>7913158.0895972</v>
      </c>
      <c r="L34" s="372"/>
      <c r="M34" s="373">
        <f t="shared" si="36"/>
        <v>210.88596753726</v>
      </c>
      <c r="N34" s="374">
        <v>107</v>
      </c>
      <c r="O34" s="374">
        <v>111</v>
      </c>
      <c r="P34" s="374">
        <v>111</v>
      </c>
      <c r="Q34" s="374"/>
      <c r="R34" s="374"/>
      <c r="S34" s="374"/>
      <c r="T34" s="374"/>
      <c r="U34" s="398">
        <f t="shared" si="3"/>
        <v>10626.7</v>
      </c>
      <c r="V34" s="399"/>
      <c r="W34" s="400">
        <f t="shared" si="11"/>
        <v>329</v>
      </c>
      <c r="X34" s="401">
        <f t="shared" ref="X34:X36" si="45">W34/G34</f>
        <v>58899.8918918975</v>
      </c>
      <c r="Y34" s="371">
        <f t="shared" si="38"/>
        <v>38914</v>
      </c>
      <c r="Z34" s="422">
        <f t="shared" si="39"/>
        <v>217.363828502395</v>
      </c>
      <c r="AA34" s="423">
        <f t="shared" si="7"/>
        <v>111.636171497605</v>
      </c>
      <c r="AB34" s="424">
        <f t="shared" ref="AB34:AB40" si="46">$AB$4*C34</f>
        <v>38913.2231404959</v>
      </c>
      <c r="AC34" s="424"/>
      <c r="AD34" s="425"/>
      <c r="AE34" s="425"/>
      <c r="AF34" s="424">
        <f t="shared" ref="AF34:AF36" si="47">AA34/G34/C34</f>
        <v>441697.336788968</v>
      </c>
      <c r="AG34" s="440"/>
      <c r="AH34" s="439">
        <f t="shared" ref="AH34:AH36" si="48">U34*1.5</f>
        <v>15940.05</v>
      </c>
    </row>
    <row r="35" s="295" customFormat="1" customHeight="1" spans="1:34">
      <c r="A35" s="318"/>
      <c r="B35" s="336"/>
      <c r="C35" s="320">
        <v>0.0452479338842975</v>
      </c>
      <c r="D35" s="326" t="s">
        <v>3278</v>
      </c>
      <c r="E35" s="322" t="s">
        <v>3280</v>
      </c>
      <c r="F35" s="327">
        <v>2000</v>
      </c>
      <c r="G35" s="324">
        <v>0.00248015873015873</v>
      </c>
      <c r="H35" s="325">
        <f t="shared" si="42"/>
        <v>806400</v>
      </c>
      <c r="I35" s="375">
        <f t="shared" si="43"/>
        <v>32.3</v>
      </c>
      <c r="J35" s="376" t="s">
        <v>3248</v>
      </c>
      <c r="K35" s="377">
        <f t="shared" si="44"/>
        <v>17821808.2191781</v>
      </c>
      <c r="L35" s="339"/>
      <c r="M35" s="378">
        <f t="shared" si="36"/>
        <v>93.6366265126918</v>
      </c>
      <c r="N35" s="379">
        <v>48</v>
      </c>
      <c r="O35" s="379">
        <v>49</v>
      </c>
      <c r="P35" s="379">
        <v>49</v>
      </c>
      <c r="Q35" s="379"/>
      <c r="R35" s="379"/>
      <c r="S35" s="379"/>
      <c r="T35" s="379"/>
      <c r="U35" s="398">
        <f t="shared" si="3"/>
        <v>4715.8</v>
      </c>
      <c r="V35" s="402"/>
      <c r="W35" s="403">
        <f t="shared" si="11"/>
        <v>146</v>
      </c>
      <c r="X35" s="404">
        <f t="shared" si="45"/>
        <v>58867.2</v>
      </c>
      <c r="Y35" s="377">
        <f t="shared" si="38"/>
        <v>38914</v>
      </c>
      <c r="Z35" s="426">
        <f t="shared" si="39"/>
        <v>96.5128968253968</v>
      </c>
      <c r="AA35" s="427">
        <f t="shared" si="7"/>
        <v>49.4871031746032</v>
      </c>
      <c r="AB35" s="428"/>
      <c r="AC35" s="428"/>
      <c r="AD35" s="429"/>
      <c r="AE35" s="429"/>
      <c r="AF35" s="428">
        <f t="shared" si="47"/>
        <v>440974.831050229</v>
      </c>
      <c r="AG35" s="440"/>
      <c r="AH35" s="439">
        <f t="shared" si="48"/>
        <v>7073.7</v>
      </c>
    </row>
    <row r="36" s="295" customFormat="1" customHeight="1" spans="1:34">
      <c r="A36" s="318"/>
      <c r="B36" s="336"/>
      <c r="C36" s="320">
        <v>0.0452479338842975</v>
      </c>
      <c r="D36" s="326" t="s">
        <v>3278</v>
      </c>
      <c r="E36" s="322" t="s">
        <v>3281</v>
      </c>
      <c r="F36" s="323">
        <v>2000</v>
      </c>
      <c r="G36" s="354">
        <v>0.00189393939393939</v>
      </c>
      <c r="H36" s="325">
        <f t="shared" si="42"/>
        <v>1056000</v>
      </c>
      <c r="I36" s="375">
        <f t="shared" si="43"/>
        <v>32.3</v>
      </c>
      <c r="J36" s="376" t="s">
        <v>3248</v>
      </c>
      <c r="K36" s="377">
        <f t="shared" si="44"/>
        <v>23338082.1917809</v>
      </c>
      <c r="L36" s="339"/>
      <c r="M36" s="378">
        <f t="shared" si="36"/>
        <v>71.5043329733281</v>
      </c>
      <c r="N36" s="379">
        <v>36</v>
      </c>
      <c r="O36" s="379">
        <v>38</v>
      </c>
      <c r="P36" s="379">
        <v>38</v>
      </c>
      <c r="Q36" s="379"/>
      <c r="R36" s="379"/>
      <c r="S36" s="379"/>
      <c r="T36" s="379"/>
      <c r="U36" s="398">
        <f t="shared" si="3"/>
        <v>3617.6</v>
      </c>
      <c r="V36" s="402"/>
      <c r="W36" s="403">
        <f t="shared" si="11"/>
        <v>112</v>
      </c>
      <c r="X36" s="404">
        <f t="shared" si="45"/>
        <v>59136.0000000001</v>
      </c>
      <c r="Y36" s="377">
        <f t="shared" si="38"/>
        <v>38914</v>
      </c>
      <c r="Z36" s="426">
        <f t="shared" si="39"/>
        <v>73.7007575757574</v>
      </c>
      <c r="AA36" s="427">
        <f t="shared" si="7"/>
        <v>38.2992424242426</v>
      </c>
      <c r="AB36" s="428"/>
      <c r="AC36" s="428"/>
      <c r="AD36" s="429"/>
      <c r="AE36" s="429"/>
      <c r="AF36" s="428">
        <f t="shared" si="47"/>
        <v>446915.433789957</v>
      </c>
      <c r="AG36" s="440"/>
      <c r="AH36" s="439">
        <f t="shared" si="48"/>
        <v>5426.4</v>
      </c>
    </row>
    <row r="37" s="295" customFormat="1" customHeight="1" spans="1:32">
      <c r="A37" s="328"/>
      <c r="B37" s="343"/>
      <c r="C37" s="330">
        <v>0.0452479338842975</v>
      </c>
      <c r="D37" s="355"/>
      <c r="E37" s="332" t="s">
        <v>3198</v>
      </c>
      <c r="F37" s="333"/>
      <c r="G37" s="334">
        <v>1</v>
      </c>
      <c r="H37" s="335"/>
      <c r="I37" s="380">
        <v>0.8624087</v>
      </c>
      <c r="J37" s="381" t="s">
        <v>3248</v>
      </c>
      <c r="K37" s="382"/>
      <c r="L37" s="337"/>
      <c r="M37" s="383">
        <f t="shared" si="36"/>
        <v>37754.2878099173</v>
      </c>
      <c r="N37" s="384">
        <f t="shared" ref="N37:N39" si="49">ROUNDUP($AB$4*$C37,0)</f>
        <v>38914</v>
      </c>
      <c r="O37" s="384">
        <v>19909</v>
      </c>
      <c r="P37" s="384">
        <v>19909</v>
      </c>
      <c r="Q37" s="384"/>
      <c r="R37" s="384"/>
      <c r="S37" s="384"/>
      <c r="T37" s="384"/>
      <c r="U37" s="405">
        <f t="shared" si="3"/>
        <v>67899.1617684</v>
      </c>
      <c r="V37" s="406"/>
      <c r="W37" s="407">
        <f t="shared" si="11"/>
        <v>78732</v>
      </c>
      <c r="X37" s="408"/>
      <c r="Y37" s="382">
        <f t="shared" si="38"/>
        <v>38914</v>
      </c>
      <c r="Z37" s="430">
        <f t="shared" si="39"/>
        <v>38914</v>
      </c>
      <c r="AA37" s="431">
        <f t="shared" si="7"/>
        <v>39818</v>
      </c>
      <c r="AB37" s="432"/>
      <c r="AC37" s="432"/>
      <c r="AD37" s="433"/>
      <c r="AE37" s="433"/>
      <c r="AF37" s="432"/>
    </row>
    <row r="38" s="295" customFormat="1" ht="97.5" customHeight="1" spans="1:32">
      <c r="A38" s="344"/>
      <c r="B38" s="345" t="s">
        <v>3282</v>
      </c>
      <c r="C38" s="346">
        <v>0.0452479338842975</v>
      </c>
      <c r="D38" s="347"/>
      <c r="E38" s="332" t="s">
        <v>3198</v>
      </c>
      <c r="F38" s="348"/>
      <c r="G38" s="349">
        <v>1</v>
      </c>
      <c r="H38" s="350"/>
      <c r="I38" s="386">
        <v>0.2393514</v>
      </c>
      <c r="J38" s="387" t="s">
        <v>3248</v>
      </c>
      <c r="K38" s="388"/>
      <c r="L38" s="348"/>
      <c r="M38" s="389"/>
      <c r="N38" s="384">
        <f t="shared" si="49"/>
        <v>38914</v>
      </c>
      <c r="O38" s="390"/>
      <c r="P38" s="390">
        <v>19909</v>
      </c>
      <c r="Q38" s="390"/>
      <c r="R38" s="390"/>
      <c r="S38" s="390"/>
      <c r="T38" s="390"/>
      <c r="U38" s="412">
        <f t="shared" si="3"/>
        <v>14079.3674022</v>
      </c>
      <c r="V38" s="413"/>
      <c r="W38" s="407">
        <f t="shared" si="11"/>
        <v>58823</v>
      </c>
      <c r="X38" s="414"/>
      <c r="Y38" s="382">
        <f t="shared" si="38"/>
        <v>38914</v>
      </c>
      <c r="Z38" s="434"/>
      <c r="AA38" s="435">
        <f t="shared" si="7"/>
        <v>58823</v>
      </c>
      <c r="AB38" s="436">
        <f t="shared" si="46"/>
        <v>38913.2231404959</v>
      </c>
      <c r="AC38" s="436"/>
      <c r="AD38" s="437"/>
      <c r="AE38" s="437"/>
      <c r="AF38" s="436"/>
    </row>
    <row r="39" s="295" customFormat="1" ht="97.5" customHeight="1" spans="1:32">
      <c r="A39" s="344"/>
      <c r="B39" s="345" t="s">
        <v>3283</v>
      </c>
      <c r="C39" s="346">
        <v>0.0452479338842975</v>
      </c>
      <c r="D39" s="347"/>
      <c r="E39" s="332" t="s">
        <v>3198</v>
      </c>
      <c r="F39" s="348"/>
      <c r="G39" s="349">
        <v>1</v>
      </c>
      <c r="H39" s="350"/>
      <c r="I39" s="386">
        <v>0.4390066</v>
      </c>
      <c r="J39" s="387" t="s">
        <v>3248</v>
      </c>
      <c r="K39" s="388"/>
      <c r="L39" s="348"/>
      <c r="M39" s="389"/>
      <c r="N39" s="384">
        <f t="shared" si="49"/>
        <v>38914</v>
      </c>
      <c r="O39" s="390"/>
      <c r="P39" s="390">
        <v>19909</v>
      </c>
      <c r="Q39" s="390"/>
      <c r="R39" s="390"/>
      <c r="S39" s="390"/>
      <c r="T39" s="390"/>
      <c r="U39" s="412">
        <f t="shared" si="3"/>
        <v>25823.6852318</v>
      </c>
      <c r="V39" s="413"/>
      <c r="W39" s="407">
        <f t="shared" si="11"/>
        <v>58823</v>
      </c>
      <c r="X39" s="414"/>
      <c r="Y39" s="382">
        <f t="shared" si="38"/>
        <v>38914</v>
      </c>
      <c r="Z39" s="434"/>
      <c r="AA39" s="435">
        <f t="shared" si="7"/>
        <v>58823</v>
      </c>
      <c r="AB39" s="436">
        <f t="shared" si="46"/>
        <v>38913.2231404959</v>
      </c>
      <c r="AC39" s="436"/>
      <c r="AD39" s="437"/>
      <c r="AE39" s="437"/>
      <c r="AF39" s="436"/>
    </row>
    <row r="40" s="295" customFormat="1" customHeight="1" spans="1:32">
      <c r="A40" s="310"/>
      <c r="B40" s="311" t="s">
        <v>3284</v>
      </c>
      <c r="C40" s="312">
        <v>0.0452479338842975</v>
      </c>
      <c r="D40" s="313" t="s">
        <v>3285</v>
      </c>
      <c r="E40" s="314" t="s">
        <v>3286</v>
      </c>
      <c r="F40" s="315">
        <v>500</v>
      </c>
      <c r="G40" s="341">
        <v>0.00771604938271605</v>
      </c>
      <c r="H40" s="317">
        <f t="shared" ref="H40:H43" si="50">F40/G40</f>
        <v>64800</v>
      </c>
      <c r="I40" s="369">
        <v>27</v>
      </c>
      <c r="J40" s="370" t="s">
        <v>3248</v>
      </c>
      <c r="K40" s="371">
        <f t="shared" ref="K40:K43" si="51">F40/C40/G40</f>
        <v>1432109.5890411</v>
      </c>
      <c r="L40" s="311" t="s">
        <v>3287</v>
      </c>
      <c r="M40" s="373">
        <f t="shared" ref="M40:M66" si="52">C40*$K$3*G40</f>
        <v>291.313949150597</v>
      </c>
      <c r="N40" s="374">
        <v>271</v>
      </c>
      <c r="O40" s="374">
        <v>246</v>
      </c>
      <c r="P40" s="374">
        <v>261</v>
      </c>
      <c r="Q40" s="374"/>
      <c r="R40" s="374"/>
      <c r="S40" s="374"/>
      <c r="T40" s="374"/>
      <c r="U40" s="398">
        <f t="shared" si="3"/>
        <v>21006</v>
      </c>
      <c r="V40" s="399">
        <f>155/443</f>
        <v>0.349887133182844</v>
      </c>
      <c r="W40" s="400">
        <f t="shared" si="11"/>
        <v>778</v>
      </c>
      <c r="X40" s="401">
        <f t="shared" ref="X40:X43" si="53">W40/G40</f>
        <v>100828.8</v>
      </c>
      <c r="Y40" s="371">
        <f t="shared" si="38"/>
        <v>66914</v>
      </c>
      <c r="Z40" s="422">
        <f t="shared" ref="Z40:Z66" si="54">Y40*G40</f>
        <v>516.311728395062</v>
      </c>
      <c r="AA40" s="423">
        <f t="shared" si="7"/>
        <v>261.688271604938</v>
      </c>
      <c r="AB40" s="424">
        <f t="shared" si="46"/>
        <v>38913.2231404959</v>
      </c>
      <c r="AC40" s="424">
        <f t="shared" ref="AC40:AC42" si="55">$AC$3</f>
        <v>28000</v>
      </c>
      <c r="AD40" s="425"/>
      <c r="AE40" s="425"/>
      <c r="AF40" s="424">
        <f t="shared" ref="AF40:AF43" si="56">AA40/G40/C40</f>
        <v>749532.566210046</v>
      </c>
    </row>
    <row r="41" s="295" customFormat="1" customHeight="1" spans="1:32">
      <c r="A41" s="318"/>
      <c r="B41" s="336"/>
      <c r="C41" s="320">
        <v>0.0452479338842975</v>
      </c>
      <c r="D41" s="326" t="s">
        <v>3285</v>
      </c>
      <c r="E41" s="322" t="s">
        <v>3280</v>
      </c>
      <c r="F41" s="323">
        <v>500</v>
      </c>
      <c r="G41" s="342">
        <v>0.00629340277777778</v>
      </c>
      <c r="H41" s="325">
        <f t="shared" si="50"/>
        <v>79448.2758620689</v>
      </c>
      <c r="I41" s="375">
        <v>27</v>
      </c>
      <c r="J41" s="376" t="s">
        <v>3248</v>
      </c>
      <c r="K41" s="377">
        <f t="shared" si="51"/>
        <v>1755843.17430326</v>
      </c>
      <c r="L41" s="391"/>
      <c r="M41" s="378">
        <f t="shared" si="52"/>
        <v>237.602939775956</v>
      </c>
      <c r="N41" s="379">
        <v>221</v>
      </c>
      <c r="O41" s="379">
        <v>201</v>
      </c>
      <c r="P41" s="379">
        <v>213</v>
      </c>
      <c r="Q41" s="379"/>
      <c r="R41" s="379"/>
      <c r="S41" s="379"/>
      <c r="T41" s="379"/>
      <c r="U41" s="398">
        <f t="shared" si="3"/>
        <v>17145</v>
      </c>
      <c r="V41" s="402">
        <f>126/443</f>
        <v>0.284424379232506</v>
      </c>
      <c r="W41" s="403">
        <f t="shared" si="11"/>
        <v>635</v>
      </c>
      <c r="X41" s="404">
        <f t="shared" si="53"/>
        <v>100899.310344828</v>
      </c>
      <c r="Y41" s="377">
        <f t="shared" si="38"/>
        <v>66914</v>
      </c>
      <c r="Z41" s="426">
        <f t="shared" si="54"/>
        <v>421.116753472222</v>
      </c>
      <c r="AA41" s="427">
        <f t="shared" si="7"/>
        <v>213.883246527778</v>
      </c>
      <c r="AB41" s="428"/>
      <c r="AC41" s="428">
        <f t="shared" si="55"/>
        <v>28000</v>
      </c>
      <c r="AD41" s="429"/>
      <c r="AE41" s="429"/>
      <c r="AF41" s="428">
        <f t="shared" si="56"/>
        <v>751090.87702724</v>
      </c>
    </row>
    <row r="42" s="295" customFormat="1" customHeight="1" spans="1:32">
      <c r="A42" s="328"/>
      <c r="B42" s="343"/>
      <c r="C42" s="330">
        <v>0.0452479338842975</v>
      </c>
      <c r="D42" s="331"/>
      <c r="E42" s="332" t="s">
        <v>3198</v>
      </c>
      <c r="F42" s="333"/>
      <c r="G42" s="334">
        <v>1</v>
      </c>
      <c r="H42" s="335"/>
      <c r="I42" s="380">
        <v>0.72969938</v>
      </c>
      <c r="J42" s="381" t="s">
        <v>3248</v>
      </c>
      <c r="K42" s="382"/>
      <c r="L42" s="337"/>
      <c r="M42" s="383">
        <f t="shared" si="52"/>
        <v>37754.2878099173</v>
      </c>
      <c r="N42" s="384">
        <f>ROUNDUP($AB$4*$C42,0)+16000</f>
        <v>54914</v>
      </c>
      <c r="O42" s="384">
        <v>31909</v>
      </c>
      <c r="P42" s="384">
        <v>33909</v>
      </c>
      <c r="Q42" s="384"/>
      <c r="R42" s="384"/>
      <c r="S42" s="384"/>
      <c r="T42" s="384"/>
      <c r="U42" s="405">
        <f t="shared" si="3"/>
        <v>88098.06554616</v>
      </c>
      <c r="V42" s="406"/>
      <c r="W42" s="407">
        <f t="shared" si="11"/>
        <v>120732</v>
      </c>
      <c r="X42" s="408"/>
      <c r="Y42" s="382">
        <f t="shared" si="38"/>
        <v>66914</v>
      </c>
      <c r="Z42" s="430">
        <f t="shared" si="54"/>
        <v>66914</v>
      </c>
      <c r="AA42" s="431">
        <f t="shared" si="7"/>
        <v>53818</v>
      </c>
      <c r="AB42" s="432"/>
      <c r="AC42" s="432">
        <f t="shared" si="55"/>
        <v>28000</v>
      </c>
      <c r="AD42" s="433"/>
      <c r="AE42" s="433"/>
      <c r="AF42" s="432"/>
    </row>
    <row r="43" s="295" customFormat="1" ht="40" customHeight="1" spans="1:32">
      <c r="A43" s="310"/>
      <c r="B43" s="311" t="s">
        <v>3288</v>
      </c>
      <c r="C43" s="312">
        <v>0.0452479338842975</v>
      </c>
      <c r="D43" s="314" t="s">
        <v>3289</v>
      </c>
      <c r="E43" s="314" t="s">
        <v>3290</v>
      </c>
      <c r="F43" s="315">
        <v>500</v>
      </c>
      <c r="G43" s="316">
        <v>0.00962631429383</v>
      </c>
      <c r="H43" s="317">
        <f t="shared" si="50"/>
        <v>51940.9594096128</v>
      </c>
      <c r="I43" s="369">
        <v>27</v>
      </c>
      <c r="J43" s="370" t="s">
        <v>3248</v>
      </c>
      <c r="K43" s="371">
        <f t="shared" si="51"/>
        <v>1147918.92028551</v>
      </c>
      <c r="L43" s="372"/>
      <c r="M43" s="373">
        <f t="shared" si="52"/>
        <v>363.434640397979</v>
      </c>
      <c r="N43" s="374">
        <v>500</v>
      </c>
      <c r="O43" s="374"/>
      <c r="P43" s="374">
        <v>500</v>
      </c>
      <c r="Q43" s="374"/>
      <c r="R43" s="374"/>
      <c r="S43" s="374"/>
      <c r="T43" s="374"/>
      <c r="U43" s="398">
        <f t="shared" si="3"/>
        <v>27000</v>
      </c>
      <c r="V43" s="410"/>
      <c r="W43" s="400">
        <f t="shared" si="11"/>
        <v>1000</v>
      </c>
      <c r="X43" s="401">
        <f t="shared" si="53"/>
        <v>103881.918819226</v>
      </c>
      <c r="Y43" s="371">
        <f t="shared" si="38"/>
        <v>38914</v>
      </c>
      <c r="Z43" s="422">
        <f t="shared" si="54"/>
        <v>374.598394430101</v>
      </c>
      <c r="AA43" s="423">
        <f t="shared" si="7"/>
        <v>625.401605569899</v>
      </c>
      <c r="AB43" s="424">
        <f>$AB$4*C43</f>
        <v>38913.2231404959</v>
      </c>
      <c r="AC43" s="424"/>
      <c r="AD43" s="425"/>
      <c r="AE43" s="425"/>
      <c r="AF43" s="424">
        <f t="shared" si="56"/>
        <v>1435820.67162124</v>
      </c>
    </row>
    <row r="44" s="295" customFormat="1" ht="40" customHeight="1" spans="1:32">
      <c r="A44" s="328"/>
      <c r="B44" s="343"/>
      <c r="C44" s="330">
        <v>0.0452479338842975</v>
      </c>
      <c r="D44" s="332"/>
      <c r="E44" s="332" t="s">
        <v>3198</v>
      </c>
      <c r="F44" s="333"/>
      <c r="G44" s="334">
        <v>1</v>
      </c>
      <c r="H44" s="335"/>
      <c r="I44" s="380">
        <v>0.80198272</v>
      </c>
      <c r="J44" s="381" t="s">
        <v>3248</v>
      </c>
      <c r="K44" s="382"/>
      <c r="L44" s="337"/>
      <c r="M44" s="383">
        <f t="shared" si="52"/>
        <v>37754.2878099173</v>
      </c>
      <c r="N44" s="384">
        <f>ROUNDUP($AB$4*$C44,0)</f>
        <v>38914</v>
      </c>
      <c r="O44" s="384">
        <v>19909</v>
      </c>
      <c r="P44" s="384">
        <v>19909</v>
      </c>
      <c r="Q44" s="384"/>
      <c r="R44" s="384"/>
      <c r="S44" s="384"/>
      <c r="T44" s="384"/>
      <c r="U44" s="405">
        <f t="shared" si="3"/>
        <v>63141.70351104</v>
      </c>
      <c r="V44" s="406"/>
      <c r="W44" s="407">
        <f t="shared" si="11"/>
        <v>78732</v>
      </c>
      <c r="X44" s="408"/>
      <c r="Y44" s="382">
        <f t="shared" si="38"/>
        <v>38914</v>
      </c>
      <c r="Z44" s="430">
        <f t="shared" si="54"/>
        <v>38914</v>
      </c>
      <c r="AA44" s="431">
        <f t="shared" si="7"/>
        <v>39818</v>
      </c>
      <c r="AB44" s="432"/>
      <c r="AC44" s="432"/>
      <c r="AD44" s="433"/>
      <c r="AE44" s="433"/>
      <c r="AF44" s="432"/>
    </row>
    <row r="45" s="295" customFormat="1" customHeight="1" spans="1:32">
      <c r="A45" s="310"/>
      <c r="B45" s="311" t="s">
        <v>3291</v>
      </c>
      <c r="C45" s="312">
        <v>0.0452479338842975</v>
      </c>
      <c r="D45" s="356" t="s">
        <v>3246</v>
      </c>
      <c r="E45" s="314" t="s">
        <v>3238</v>
      </c>
      <c r="F45" s="315">
        <v>500</v>
      </c>
      <c r="G45" s="316">
        <v>0.00555555555555556</v>
      </c>
      <c r="H45" s="317">
        <f t="shared" ref="H45:H48" si="57">F45/G45</f>
        <v>89999.9999999999</v>
      </c>
      <c r="I45" s="369">
        <v>27</v>
      </c>
      <c r="J45" s="370" t="s">
        <v>3248</v>
      </c>
      <c r="K45" s="371">
        <f t="shared" ref="K45:K48" si="58">F45/C45/G45</f>
        <v>1989041.09589041</v>
      </c>
      <c r="L45" s="385" t="s">
        <v>3249</v>
      </c>
      <c r="M45" s="373">
        <f t="shared" si="52"/>
        <v>209.74604338843</v>
      </c>
      <c r="N45" s="374">
        <v>112</v>
      </c>
      <c r="O45" s="374">
        <v>110</v>
      </c>
      <c r="P45" s="374">
        <v>111</v>
      </c>
      <c r="Q45" s="374"/>
      <c r="R45" s="374"/>
      <c r="S45" s="374"/>
      <c r="T45" s="374"/>
      <c r="U45" s="398">
        <f t="shared" si="3"/>
        <v>8991</v>
      </c>
      <c r="V45" s="399"/>
      <c r="W45" s="400">
        <f t="shared" si="11"/>
        <v>333</v>
      </c>
      <c r="X45" s="401">
        <f t="shared" ref="X45:X48" si="59">W45/G45</f>
        <v>59939.9999999999</v>
      </c>
      <c r="Y45" s="371">
        <f t="shared" si="38"/>
        <v>39914</v>
      </c>
      <c r="Z45" s="422">
        <f t="shared" si="54"/>
        <v>221.744444444445</v>
      </c>
      <c r="AA45" s="423">
        <f t="shared" si="7"/>
        <v>111.255555555555</v>
      </c>
      <c r="AB45" s="424">
        <f>$AB$4*C45</f>
        <v>38913.2231404959</v>
      </c>
      <c r="AC45" s="424"/>
      <c r="AD45" s="425"/>
      <c r="AE45" s="425">
        <v>1000</v>
      </c>
      <c r="AF45" s="424">
        <f t="shared" ref="AF45:AF48" si="60">AA45/G45/C45</f>
        <v>442583.744292237</v>
      </c>
    </row>
    <row r="46" s="295" customFormat="1" customHeight="1" spans="1:32">
      <c r="A46" s="318"/>
      <c r="B46" s="336"/>
      <c r="C46" s="320">
        <v>0.0452479338842975</v>
      </c>
      <c r="D46" s="326" t="s">
        <v>3246</v>
      </c>
      <c r="E46" s="322" t="s">
        <v>3280</v>
      </c>
      <c r="F46" s="323">
        <v>500</v>
      </c>
      <c r="G46" s="324">
        <v>0.00254065040650406</v>
      </c>
      <c r="H46" s="325">
        <f t="shared" si="57"/>
        <v>196800</v>
      </c>
      <c r="I46" s="375">
        <v>27</v>
      </c>
      <c r="J46" s="376" t="s">
        <v>3248</v>
      </c>
      <c r="K46" s="377">
        <f t="shared" si="58"/>
        <v>4349369.86301371</v>
      </c>
      <c r="L46" s="339"/>
      <c r="M46" s="378">
        <f t="shared" si="52"/>
        <v>95.9204466715378</v>
      </c>
      <c r="N46" s="379">
        <v>56</v>
      </c>
      <c r="O46" s="379">
        <v>46</v>
      </c>
      <c r="P46" s="379">
        <v>50</v>
      </c>
      <c r="Q46" s="379"/>
      <c r="R46" s="379"/>
      <c r="S46" s="379"/>
      <c r="T46" s="379"/>
      <c r="U46" s="398">
        <f t="shared" si="3"/>
        <v>4104</v>
      </c>
      <c r="V46" s="402"/>
      <c r="W46" s="403">
        <f t="shared" si="11"/>
        <v>152</v>
      </c>
      <c r="X46" s="404">
        <f t="shared" si="59"/>
        <v>59827.2000000001</v>
      </c>
      <c r="Y46" s="377">
        <f t="shared" si="38"/>
        <v>39914</v>
      </c>
      <c r="Z46" s="426">
        <f t="shared" si="54"/>
        <v>101.407520325203</v>
      </c>
      <c r="AA46" s="427">
        <f t="shared" si="7"/>
        <v>50.5924796747969</v>
      </c>
      <c r="AB46" s="428"/>
      <c r="AC46" s="428"/>
      <c r="AD46" s="429"/>
      <c r="AE46" s="429">
        <v>1000</v>
      </c>
      <c r="AF46" s="428">
        <f t="shared" si="60"/>
        <v>440090.812785391</v>
      </c>
    </row>
    <row r="47" s="295" customFormat="1" customHeight="1" spans="1:32">
      <c r="A47" s="318"/>
      <c r="B47" s="336"/>
      <c r="C47" s="320">
        <v>0.0452479338842975</v>
      </c>
      <c r="D47" s="326" t="s">
        <v>3246</v>
      </c>
      <c r="E47" s="322" t="s">
        <v>3292</v>
      </c>
      <c r="F47" s="323">
        <v>500</v>
      </c>
      <c r="G47" s="324">
        <v>0.00376647834274953</v>
      </c>
      <c r="H47" s="325">
        <f t="shared" si="57"/>
        <v>132750</v>
      </c>
      <c r="I47" s="375">
        <v>27</v>
      </c>
      <c r="J47" s="376" t="s">
        <v>3248</v>
      </c>
      <c r="K47" s="377">
        <f t="shared" si="58"/>
        <v>2933835.61643836</v>
      </c>
      <c r="L47" s="339"/>
      <c r="M47" s="378">
        <f t="shared" si="52"/>
        <v>142.200707381986</v>
      </c>
      <c r="N47" s="379">
        <v>76</v>
      </c>
      <c r="O47" s="379">
        <v>75</v>
      </c>
      <c r="P47" s="379">
        <v>75</v>
      </c>
      <c r="Q47" s="379"/>
      <c r="R47" s="379"/>
      <c r="S47" s="379"/>
      <c r="T47" s="379"/>
      <c r="U47" s="398">
        <f t="shared" si="3"/>
        <v>6102</v>
      </c>
      <c r="V47" s="402"/>
      <c r="W47" s="403">
        <f t="shared" si="11"/>
        <v>226</v>
      </c>
      <c r="X47" s="404">
        <f t="shared" si="59"/>
        <v>60003</v>
      </c>
      <c r="Y47" s="377">
        <f t="shared" si="38"/>
        <v>39914</v>
      </c>
      <c r="Z47" s="426">
        <f t="shared" si="54"/>
        <v>150.335216572505</v>
      </c>
      <c r="AA47" s="427">
        <f t="shared" si="7"/>
        <v>75.6647834274953</v>
      </c>
      <c r="AB47" s="428"/>
      <c r="AC47" s="428"/>
      <c r="AD47" s="429"/>
      <c r="AE47" s="429">
        <v>1000</v>
      </c>
      <c r="AF47" s="428">
        <f t="shared" si="60"/>
        <v>443976.073059361</v>
      </c>
    </row>
    <row r="48" s="295" customFormat="1" customHeight="1" spans="1:33">
      <c r="A48" s="318"/>
      <c r="B48" s="336"/>
      <c r="C48" s="320">
        <v>0.0452479338842975</v>
      </c>
      <c r="D48" s="326" t="s">
        <v>3253</v>
      </c>
      <c r="E48" s="322" t="s">
        <v>3293</v>
      </c>
      <c r="F48" s="323">
        <v>2000</v>
      </c>
      <c r="G48" s="324">
        <v>0.00185185185185185</v>
      </c>
      <c r="H48" s="325">
        <f t="shared" si="57"/>
        <v>1080000</v>
      </c>
      <c r="I48" s="375">
        <v>13.56</v>
      </c>
      <c r="J48" s="376" t="s">
        <v>3248</v>
      </c>
      <c r="K48" s="377">
        <f t="shared" si="58"/>
        <v>23868493.150685</v>
      </c>
      <c r="L48" s="336" t="s">
        <v>3255</v>
      </c>
      <c r="M48" s="378">
        <f t="shared" si="52"/>
        <v>69.9153477961432</v>
      </c>
      <c r="N48" s="379">
        <f>1200*V48+6</f>
        <v>177.100997868528</v>
      </c>
      <c r="O48" s="379"/>
      <c r="P48" s="379"/>
      <c r="Q48" s="379"/>
      <c r="R48" s="379"/>
      <c r="S48" s="379"/>
      <c r="T48" s="379"/>
      <c r="U48" s="398">
        <f t="shared" si="3"/>
        <v>2401.48953109724</v>
      </c>
      <c r="V48" s="402">
        <f>Z48/(Z14+Z31+Z48+Z53+Z60+Z65+Z72+Z75)</f>
        <v>0.14258416489044</v>
      </c>
      <c r="W48" s="403">
        <f t="shared" si="11"/>
        <v>177.100997868528</v>
      </c>
      <c r="X48" s="404">
        <f t="shared" si="59"/>
        <v>95634.5388490052</v>
      </c>
      <c r="Y48" s="377">
        <f t="shared" si="38"/>
        <v>39914</v>
      </c>
      <c r="Z48" s="426">
        <f t="shared" si="54"/>
        <v>73.9148148148147</v>
      </c>
      <c r="AA48" s="427">
        <f t="shared" si="7"/>
        <v>103.186183053713</v>
      </c>
      <c r="AB48" s="428"/>
      <c r="AC48" s="428"/>
      <c r="AD48" s="429"/>
      <c r="AE48" s="429">
        <v>1000</v>
      </c>
      <c r="AF48" s="428">
        <f t="shared" si="60"/>
        <v>1231449.35173144</v>
      </c>
      <c r="AG48" s="441"/>
    </row>
    <row r="49" s="295" customFormat="1" customHeight="1" spans="1:32">
      <c r="A49" s="328"/>
      <c r="B49" s="343"/>
      <c r="C49" s="330">
        <v>0.0452479338842975</v>
      </c>
      <c r="D49" s="331"/>
      <c r="E49" s="332" t="s">
        <v>3198</v>
      </c>
      <c r="F49" s="333"/>
      <c r="G49" s="334">
        <v>1</v>
      </c>
      <c r="H49" s="335"/>
      <c r="I49" s="380">
        <v>0.0618</v>
      </c>
      <c r="J49" s="381" t="s">
        <v>3248</v>
      </c>
      <c r="K49" s="382"/>
      <c r="L49" s="337"/>
      <c r="M49" s="383">
        <f t="shared" si="52"/>
        <v>37754.2878099173</v>
      </c>
      <c r="N49" s="384">
        <f>ROUNDUP($AB$4*$C49,0)+1000</f>
        <v>39914</v>
      </c>
      <c r="O49" s="384">
        <v>19909</v>
      </c>
      <c r="P49" s="384">
        <v>19909</v>
      </c>
      <c r="Q49" s="384"/>
      <c r="R49" s="384"/>
      <c r="S49" s="384"/>
      <c r="T49" s="384"/>
      <c r="U49" s="405">
        <f t="shared" si="3"/>
        <v>4927.4376</v>
      </c>
      <c r="V49" s="406"/>
      <c r="W49" s="407">
        <f t="shared" si="11"/>
        <v>79732</v>
      </c>
      <c r="X49" s="408"/>
      <c r="Y49" s="382">
        <f t="shared" si="38"/>
        <v>39914</v>
      </c>
      <c r="Z49" s="430">
        <f t="shared" si="54"/>
        <v>39914</v>
      </c>
      <c r="AA49" s="431">
        <f t="shared" si="7"/>
        <v>39818</v>
      </c>
      <c r="AB49" s="432"/>
      <c r="AC49" s="432"/>
      <c r="AD49" s="433"/>
      <c r="AE49" s="433">
        <v>1000</v>
      </c>
      <c r="AF49" s="432"/>
    </row>
    <row r="50" s="295" customFormat="1" ht="40" customHeight="1" spans="1:34">
      <c r="A50" s="310"/>
      <c r="B50" s="311" t="s">
        <v>3294</v>
      </c>
      <c r="C50" s="312">
        <v>0.0452479338842975</v>
      </c>
      <c r="D50" s="313" t="s">
        <v>3295</v>
      </c>
      <c r="E50" s="314" t="s">
        <v>3296</v>
      </c>
      <c r="F50" s="315">
        <v>500</v>
      </c>
      <c r="G50" s="316">
        <v>0.000534188034188034</v>
      </c>
      <c r="H50" s="317">
        <f t="shared" ref="H50:H53" si="61">F50/G50</f>
        <v>936000</v>
      </c>
      <c r="I50" s="369">
        <f>67.5/2.5</f>
        <v>27</v>
      </c>
      <c r="J50" s="370" t="s">
        <v>3248</v>
      </c>
      <c r="K50" s="371">
        <f t="shared" ref="K50:K53" si="62">F50/C50/G50</f>
        <v>20686027.3972603</v>
      </c>
      <c r="L50" s="372"/>
      <c r="M50" s="373">
        <f t="shared" si="52"/>
        <v>20.167888787349</v>
      </c>
      <c r="N50" s="374">
        <v>11</v>
      </c>
      <c r="O50" s="374">
        <v>10</v>
      </c>
      <c r="P50" s="374">
        <v>11</v>
      </c>
      <c r="Q50" s="374"/>
      <c r="R50" s="374"/>
      <c r="S50" s="374"/>
      <c r="T50" s="374"/>
      <c r="U50" s="398">
        <f t="shared" si="3"/>
        <v>864</v>
      </c>
      <c r="V50" s="399"/>
      <c r="W50" s="400">
        <f t="shared" si="11"/>
        <v>32</v>
      </c>
      <c r="X50" s="401">
        <f t="shared" ref="X50:X53" si="63">W50/G50</f>
        <v>59904</v>
      </c>
      <c r="Y50" s="371">
        <f t="shared" si="38"/>
        <v>38914</v>
      </c>
      <c r="Z50" s="422">
        <f t="shared" si="54"/>
        <v>20.7873931623932</v>
      </c>
      <c r="AA50" s="423">
        <f t="shared" si="7"/>
        <v>11.2126068376068</v>
      </c>
      <c r="AB50" s="424">
        <f t="shared" ref="AB50:AB55" si="64">$AB$4*C50</f>
        <v>38913.2231404959</v>
      </c>
      <c r="AC50" s="424"/>
      <c r="AD50" s="425"/>
      <c r="AE50" s="425"/>
      <c r="AF50" s="424">
        <f t="shared" ref="AF50:AF53" si="65">AA50/G50/C50</f>
        <v>463888.584474887</v>
      </c>
      <c r="AG50" s="440"/>
      <c r="AH50" s="439">
        <f>U50*1.5</f>
        <v>1296</v>
      </c>
    </row>
    <row r="51" s="295" customFormat="1" ht="40" customHeight="1" spans="1:32">
      <c r="A51" s="328"/>
      <c r="B51" s="343"/>
      <c r="C51" s="330">
        <v>0.0452479338842975</v>
      </c>
      <c r="D51" s="331"/>
      <c r="E51" s="332" t="s">
        <v>3198</v>
      </c>
      <c r="F51" s="333"/>
      <c r="G51" s="334">
        <v>1</v>
      </c>
      <c r="H51" s="335"/>
      <c r="I51" s="380">
        <v>0.8070771</v>
      </c>
      <c r="J51" s="381" t="s">
        <v>3248</v>
      </c>
      <c r="K51" s="382"/>
      <c r="L51" s="337"/>
      <c r="M51" s="383">
        <f t="shared" si="52"/>
        <v>37754.2878099173</v>
      </c>
      <c r="N51" s="384">
        <f>ROUNDUP($AB$4*$C51,0)</f>
        <v>38914</v>
      </c>
      <c r="O51" s="384">
        <v>19909</v>
      </c>
      <c r="P51" s="384">
        <v>19909</v>
      </c>
      <c r="Q51" s="384"/>
      <c r="R51" s="384"/>
      <c r="S51" s="384"/>
      <c r="T51" s="384"/>
      <c r="U51" s="405">
        <f t="shared" si="3"/>
        <v>63542.7942372</v>
      </c>
      <c r="V51" s="406"/>
      <c r="W51" s="407">
        <f t="shared" si="11"/>
        <v>78732</v>
      </c>
      <c r="X51" s="408"/>
      <c r="Y51" s="382">
        <f t="shared" si="38"/>
        <v>38914</v>
      </c>
      <c r="Z51" s="430">
        <f t="shared" si="54"/>
        <v>38914</v>
      </c>
      <c r="AA51" s="431">
        <f t="shared" si="7"/>
        <v>39818</v>
      </c>
      <c r="AB51" s="432"/>
      <c r="AC51" s="432"/>
      <c r="AD51" s="433"/>
      <c r="AE51" s="433"/>
      <c r="AF51" s="432"/>
    </row>
    <row r="52" s="295" customFormat="1" customHeight="1" spans="1:32">
      <c r="A52" s="310"/>
      <c r="B52" s="311" t="s">
        <v>3297</v>
      </c>
      <c r="C52" s="312">
        <v>0.0452479338842975</v>
      </c>
      <c r="D52" s="314" t="s">
        <v>3298</v>
      </c>
      <c r="E52" s="314" t="s">
        <v>3299</v>
      </c>
      <c r="F52" s="315">
        <v>500</v>
      </c>
      <c r="G52" s="316">
        <v>0.00815029537456</v>
      </c>
      <c r="H52" s="317">
        <f t="shared" si="61"/>
        <v>61347.4698795187</v>
      </c>
      <c r="I52" s="369">
        <v>21</v>
      </c>
      <c r="J52" s="370" t="s">
        <v>3248</v>
      </c>
      <c r="K52" s="371">
        <f t="shared" si="62"/>
        <v>1355807.09688069</v>
      </c>
      <c r="L52" s="372"/>
      <c r="M52" s="373">
        <f t="shared" si="52"/>
        <v>307.708597306976</v>
      </c>
      <c r="N52" s="374">
        <v>500</v>
      </c>
      <c r="O52" s="374"/>
      <c r="P52" s="374"/>
      <c r="Q52" s="374"/>
      <c r="R52" s="374"/>
      <c r="S52" s="374"/>
      <c r="T52" s="374"/>
      <c r="U52" s="398">
        <f t="shared" si="3"/>
        <v>10500</v>
      </c>
      <c r="V52" s="399"/>
      <c r="W52" s="400">
        <f t="shared" si="11"/>
        <v>500</v>
      </c>
      <c r="X52" s="401">
        <f t="shared" si="63"/>
        <v>61347.4698795187</v>
      </c>
      <c r="Y52" s="371">
        <f t="shared" si="38"/>
        <v>38914</v>
      </c>
      <c r="Z52" s="422">
        <f t="shared" si="54"/>
        <v>317.160594205628</v>
      </c>
      <c r="AA52" s="423">
        <f t="shared" si="7"/>
        <v>182.839405794372</v>
      </c>
      <c r="AB52" s="424">
        <f t="shared" si="64"/>
        <v>38913.2231404959</v>
      </c>
      <c r="AC52" s="424"/>
      <c r="AD52" s="425"/>
      <c r="AE52" s="425"/>
      <c r="AF52" s="424">
        <f t="shared" si="65"/>
        <v>495789.927930915</v>
      </c>
    </row>
    <row r="53" s="295" customFormat="1" customHeight="1" spans="1:33">
      <c r="A53" s="318"/>
      <c r="B53" s="336"/>
      <c r="C53" s="320">
        <v>0.0452479338842975</v>
      </c>
      <c r="D53" s="336" t="s">
        <v>3253</v>
      </c>
      <c r="E53" s="322" t="s">
        <v>3300</v>
      </c>
      <c r="F53" s="323">
        <v>2000</v>
      </c>
      <c r="G53" s="324">
        <v>0.00121527777777778</v>
      </c>
      <c r="H53" s="325">
        <f t="shared" si="61"/>
        <v>1645714.28571428</v>
      </c>
      <c r="I53" s="375">
        <v>13.56</v>
      </c>
      <c r="J53" s="376" t="s">
        <v>3248</v>
      </c>
      <c r="K53" s="377">
        <f t="shared" si="62"/>
        <v>36371037.181996</v>
      </c>
      <c r="L53" s="336" t="s">
        <v>3255</v>
      </c>
      <c r="M53" s="378">
        <f t="shared" si="52"/>
        <v>45.8819469912191</v>
      </c>
      <c r="N53" s="379">
        <f>1200*V53+7</f>
        <v>116.47185578069</v>
      </c>
      <c r="O53" s="379"/>
      <c r="P53" s="379"/>
      <c r="Q53" s="379"/>
      <c r="R53" s="379"/>
      <c r="S53" s="379"/>
      <c r="T53" s="379"/>
      <c r="U53" s="398">
        <f t="shared" si="3"/>
        <v>1579.35836438615</v>
      </c>
      <c r="V53" s="402">
        <f>Z53/(Z14+Z31+Z48+Z53+Z60+Z65+Z72+Z75)</f>
        <v>0.0912265464839081</v>
      </c>
      <c r="W53" s="403">
        <f t="shared" si="11"/>
        <v>116.47185578069</v>
      </c>
      <c r="X53" s="404">
        <f t="shared" si="63"/>
        <v>95839.6984709673</v>
      </c>
      <c r="Y53" s="377">
        <f t="shared" si="38"/>
        <v>38914</v>
      </c>
      <c r="Z53" s="426">
        <f t="shared" si="54"/>
        <v>47.2913194444445</v>
      </c>
      <c r="AA53" s="427">
        <f t="shared" si="7"/>
        <v>69.1805363362451</v>
      </c>
      <c r="AB53" s="428"/>
      <c r="AC53" s="428"/>
      <c r="AD53" s="429"/>
      <c r="AE53" s="429"/>
      <c r="AF53" s="428">
        <f t="shared" si="65"/>
        <v>1258083.929678</v>
      </c>
      <c r="AG53" s="441"/>
    </row>
    <row r="54" s="295" customFormat="1" customHeight="1" spans="1:32">
      <c r="A54" s="328"/>
      <c r="B54" s="343"/>
      <c r="C54" s="330">
        <v>0.0452479338842975</v>
      </c>
      <c r="D54" s="331"/>
      <c r="E54" s="332" t="s">
        <v>3198</v>
      </c>
      <c r="F54" s="333"/>
      <c r="G54" s="334">
        <v>1</v>
      </c>
      <c r="H54" s="353"/>
      <c r="I54" s="380">
        <v>0.5392874</v>
      </c>
      <c r="J54" s="381" t="s">
        <v>3248</v>
      </c>
      <c r="K54" s="382"/>
      <c r="L54" s="337"/>
      <c r="M54" s="383">
        <f t="shared" si="52"/>
        <v>37754.2878099173</v>
      </c>
      <c r="N54" s="384">
        <f>ROUNDUP($AB$4*$C54,0)</f>
        <v>38914</v>
      </c>
      <c r="O54" s="384">
        <v>19909</v>
      </c>
      <c r="P54" s="384">
        <v>19909</v>
      </c>
      <c r="Q54" s="384"/>
      <c r="R54" s="384"/>
      <c r="S54" s="384"/>
      <c r="T54" s="384"/>
      <c r="U54" s="405">
        <f t="shared" si="3"/>
        <v>42459.1755768</v>
      </c>
      <c r="V54" s="406"/>
      <c r="W54" s="407">
        <f t="shared" si="11"/>
        <v>78732</v>
      </c>
      <c r="X54" s="408"/>
      <c r="Y54" s="382">
        <f t="shared" si="38"/>
        <v>38914</v>
      </c>
      <c r="Z54" s="430">
        <f t="shared" si="54"/>
        <v>38914</v>
      </c>
      <c r="AA54" s="431">
        <f t="shared" si="7"/>
        <v>39818</v>
      </c>
      <c r="AB54" s="432"/>
      <c r="AC54" s="432"/>
      <c r="AD54" s="433"/>
      <c r="AE54" s="433"/>
      <c r="AF54" s="432"/>
    </row>
    <row r="55" s="295" customFormat="1" customHeight="1" spans="1:33">
      <c r="A55" s="310"/>
      <c r="B55" s="311" t="s">
        <v>3301</v>
      </c>
      <c r="C55" s="312">
        <v>0.0452479338842975</v>
      </c>
      <c r="D55" s="313" t="s">
        <v>3302</v>
      </c>
      <c r="E55" s="314" t="s">
        <v>3238</v>
      </c>
      <c r="F55" s="315">
        <v>3000</v>
      </c>
      <c r="G55" s="316">
        <v>0.00954861111111111</v>
      </c>
      <c r="H55" s="317">
        <f t="shared" ref="H55:H57" si="66">F55/G55</f>
        <v>314181.818181818</v>
      </c>
      <c r="I55" s="369">
        <f>30/2.5</f>
        <v>12</v>
      </c>
      <c r="J55" s="370" t="s">
        <v>3248</v>
      </c>
      <c r="K55" s="371">
        <f t="shared" ref="K55:K57" si="67">F55/C55/G55</f>
        <v>6943561.64383562</v>
      </c>
      <c r="L55" s="372"/>
      <c r="M55" s="373">
        <f t="shared" si="52"/>
        <v>360.501012073863</v>
      </c>
      <c r="N55" s="374">
        <f>ROUNDUP(2000*V55,0)+2</f>
        <v>925</v>
      </c>
      <c r="O55" s="374"/>
      <c r="P55" s="374"/>
      <c r="Q55" s="374"/>
      <c r="R55" s="374"/>
      <c r="S55" s="374"/>
      <c r="T55" s="374"/>
      <c r="U55" s="398">
        <f t="shared" si="3"/>
        <v>11100</v>
      </c>
      <c r="V55" s="415">
        <f>191/414</f>
        <v>0.461352657004831</v>
      </c>
      <c r="W55" s="400">
        <f t="shared" si="11"/>
        <v>925</v>
      </c>
      <c r="X55" s="401">
        <f t="shared" ref="X55:X57" si="68">W55/G55</f>
        <v>96872.7272727273</v>
      </c>
      <c r="Y55" s="371">
        <f t="shared" si="38"/>
        <v>38914</v>
      </c>
      <c r="Z55" s="422">
        <f t="shared" si="54"/>
        <v>371.574652777778</v>
      </c>
      <c r="AA55" s="423">
        <f t="shared" si="7"/>
        <v>553.425347222222</v>
      </c>
      <c r="AB55" s="424">
        <f t="shared" si="64"/>
        <v>38913.2231404959</v>
      </c>
      <c r="AC55" s="424"/>
      <c r="AD55" s="425"/>
      <c r="AE55" s="425"/>
      <c r="AF55" s="424">
        <f t="shared" ref="AF55:AF57" si="69">AA55/G55/C55</f>
        <v>1280914.33789954</v>
      </c>
      <c r="AG55" s="441"/>
    </row>
    <row r="56" s="295" customFormat="1" customHeight="1" spans="1:33">
      <c r="A56" s="318"/>
      <c r="B56" s="336"/>
      <c r="C56" s="320">
        <v>0.0452479338842975</v>
      </c>
      <c r="D56" s="326" t="s">
        <v>3302</v>
      </c>
      <c r="E56" s="322" t="s">
        <v>3303</v>
      </c>
      <c r="F56" s="323">
        <v>3000</v>
      </c>
      <c r="G56" s="324">
        <v>0.00954861111111111</v>
      </c>
      <c r="H56" s="325">
        <f t="shared" si="66"/>
        <v>314181.818181818</v>
      </c>
      <c r="I56" s="375">
        <v>12</v>
      </c>
      <c r="J56" s="376" t="s">
        <v>3248</v>
      </c>
      <c r="K56" s="377">
        <f t="shared" si="67"/>
        <v>6943561.64383562</v>
      </c>
      <c r="L56" s="339"/>
      <c r="M56" s="378">
        <f t="shared" si="52"/>
        <v>360.501012073863</v>
      </c>
      <c r="N56" s="379">
        <f>ROUNDUP(2000*V56,0)+2</f>
        <v>925</v>
      </c>
      <c r="O56" s="379"/>
      <c r="P56" s="379"/>
      <c r="Q56" s="379"/>
      <c r="R56" s="379"/>
      <c r="S56" s="379"/>
      <c r="T56" s="379"/>
      <c r="U56" s="398">
        <f t="shared" si="3"/>
        <v>11100</v>
      </c>
      <c r="V56" s="416">
        <f>191/414</f>
        <v>0.461352657004831</v>
      </c>
      <c r="W56" s="403">
        <f t="shared" si="11"/>
        <v>925</v>
      </c>
      <c r="X56" s="404">
        <f t="shared" si="68"/>
        <v>96872.7272727273</v>
      </c>
      <c r="Y56" s="377">
        <f t="shared" si="38"/>
        <v>38914</v>
      </c>
      <c r="Z56" s="426">
        <f t="shared" si="54"/>
        <v>371.574652777778</v>
      </c>
      <c r="AA56" s="427">
        <f t="shared" si="7"/>
        <v>553.425347222222</v>
      </c>
      <c r="AB56" s="428"/>
      <c r="AC56" s="428"/>
      <c r="AD56" s="429"/>
      <c r="AE56" s="429"/>
      <c r="AF56" s="428">
        <f t="shared" si="69"/>
        <v>1280914.33789954</v>
      </c>
      <c r="AG56" s="441"/>
    </row>
    <row r="57" s="295" customFormat="1" customHeight="1" spans="1:33">
      <c r="A57" s="318"/>
      <c r="B57" s="336"/>
      <c r="C57" s="320">
        <v>0.0452479338842975</v>
      </c>
      <c r="D57" s="326" t="s">
        <v>3302</v>
      </c>
      <c r="E57" s="322" t="s">
        <v>3300</v>
      </c>
      <c r="F57" s="323">
        <v>3000</v>
      </c>
      <c r="G57" s="324">
        <v>0.00153186274509804</v>
      </c>
      <c r="H57" s="325">
        <f t="shared" si="66"/>
        <v>1958400</v>
      </c>
      <c r="I57" s="375">
        <v>12</v>
      </c>
      <c r="J57" s="376" t="s">
        <v>3248</v>
      </c>
      <c r="K57" s="377">
        <f t="shared" si="67"/>
        <v>43281534.2465753</v>
      </c>
      <c r="L57" s="339"/>
      <c r="M57" s="378">
        <f t="shared" si="52"/>
        <v>57.8343869637214</v>
      </c>
      <c r="N57" s="379">
        <f>ROUNDUP(2000*V57,0)</f>
        <v>150</v>
      </c>
      <c r="O57" s="379"/>
      <c r="P57" s="379"/>
      <c r="Q57" s="379"/>
      <c r="R57" s="379"/>
      <c r="S57" s="379"/>
      <c r="T57" s="379"/>
      <c r="U57" s="398">
        <f t="shared" si="3"/>
        <v>1800</v>
      </c>
      <c r="V57" s="409">
        <f>31/414</f>
        <v>0.0748792270531401</v>
      </c>
      <c r="W57" s="403">
        <f t="shared" si="11"/>
        <v>150</v>
      </c>
      <c r="X57" s="404">
        <f t="shared" si="68"/>
        <v>97919.9999999999</v>
      </c>
      <c r="Y57" s="377">
        <f t="shared" si="38"/>
        <v>38914</v>
      </c>
      <c r="Z57" s="426">
        <f t="shared" si="54"/>
        <v>59.6109068627451</v>
      </c>
      <c r="AA57" s="427">
        <f t="shared" si="7"/>
        <v>90.3890931372549</v>
      </c>
      <c r="AB57" s="428"/>
      <c r="AC57" s="428"/>
      <c r="AD57" s="429"/>
      <c r="AE57" s="429"/>
      <c r="AF57" s="428">
        <f t="shared" si="69"/>
        <v>1304059.54337899</v>
      </c>
      <c r="AG57" s="441"/>
    </row>
    <row r="58" s="295" customFormat="1" customHeight="1" spans="1:32">
      <c r="A58" s="328"/>
      <c r="B58" s="343"/>
      <c r="C58" s="330">
        <v>0.0452479338842975</v>
      </c>
      <c r="D58" s="331"/>
      <c r="E58" s="332" t="s">
        <v>3198</v>
      </c>
      <c r="F58" s="357"/>
      <c r="G58" s="334">
        <v>1</v>
      </c>
      <c r="H58" s="353"/>
      <c r="I58" s="380">
        <v>1.145772</v>
      </c>
      <c r="J58" s="381" t="s">
        <v>3248</v>
      </c>
      <c r="K58" s="382"/>
      <c r="L58" s="392"/>
      <c r="M58" s="383">
        <f t="shared" si="52"/>
        <v>37754.2878099173</v>
      </c>
      <c r="N58" s="384">
        <f>ROUNDUP($AB$4*$C58,0)</f>
        <v>38914</v>
      </c>
      <c r="O58" s="384">
        <v>19909</v>
      </c>
      <c r="P58" s="384">
        <v>19909</v>
      </c>
      <c r="Q58" s="384"/>
      <c r="R58" s="384"/>
      <c r="S58" s="384"/>
      <c r="T58" s="384"/>
      <c r="U58" s="405">
        <f t="shared" si="3"/>
        <v>90208.921104</v>
      </c>
      <c r="V58" s="406"/>
      <c r="W58" s="407">
        <f t="shared" si="11"/>
        <v>78732</v>
      </c>
      <c r="X58" s="408"/>
      <c r="Y58" s="382">
        <f t="shared" si="38"/>
        <v>38914</v>
      </c>
      <c r="Z58" s="430">
        <f t="shared" si="54"/>
        <v>38914</v>
      </c>
      <c r="AA58" s="431">
        <f t="shared" si="7"/>
        <v>39818</v>
      </c>
      <c r="AB58" s="432"/>
      <c r="AC58" s="432"/>
      <c r="AD58" s="433"/>
      <c r="AE58" s="433"/>
      <c r="AF58" s="432"/>
    </row>
    <row r="59" s="295" customFormat="1" customHeight="1" spans="1:32">
      <c r="A59" s="310"/>
      <c r="B59" s="311" t="s">
        <v>3304</v>
      </c>
      <c r="C59" s="312">
        <v>0.0452479338842975</v>
      </c>
      <c r="D59" s="313" t="s">
        <v>3285</v>
      </c>
      <c r="E59" s="314" t="s">
        <v>3238</v>
      </c>
      <c r="F59" s="315">
        <v>500</v>
      </c>
      <c r="G59" s="316">
        <v>0.00810185185185185</v>
      </c>
      <c r="H59" s="317">
        <f t="shared" ref="H59:H65" si="70">F59/G59</f>
        <v>61714.2857142857</v>
      </c>
      <c r="I59" s="369">
        <v>43</v>
      </c>
      <c r="J59" s="370" t="s">
        <v>3248</v>
      </c>
      <c r="K59" s="371">
        <f t="shared" ref="K59:K65" si="71">F59/C59/G59</f>
        <v>1363913.89432485</v>
      </c>
      <c r="L59" s="311" t="s">
        <v>3287</v>
      </c>
      <c r="M59" s="373">
        <f t="shared" si="52"/>
        <v>305.879646608127</v>
      </c>
      <c r="N59" s="374">
        <v>154</v>
      </c>
      <c r="O59" s="374">
        <v>162</v>
      </c>
      <c r="P59" s="374">
        <v>161</v>
      </c>
      <c r="Q59" s="374"/>
      <c r="R59" s="374"/>
      <c r="S59" s="374"/>
      <c r="T59" s="374"/>
      <c r="U59" s="398">
        <f t="shared" si="3"/>
        <v>20511</v>
      </c>
      <c r="V59" s="399">
        <f>162/443</f>
        <v>0.36568848758465</v>
      </c>
      <c r="W59" s="400">
        <f t="shared" si="11"/>
        <v>477</v>
      </c>
      <c r="X59" s="401">
        <f t="shared" ref="X59:X65" si="72">W59/G59</f>
        <v>58875.4285714286</v>
      </c>
      <c r="Y59" s="371">
        <f t="shared" si="38"/>
        <v>38914</v>
      </c>
      <c r="Z59" s="422">
        <f t="shared" si="54"/>
        <v>315.275462962963</v>
      </c>
      <c r="AA59" s="423">
        <f t="shared" si="7"/>
        <v>161.724537037037</v>
      </c>
      <c r="AB59" s="424">
        <f>$AB$4*C59</f>
        <v>38913.2231404959</v>
      </c>
      <c r="AC59" s="424"/>
      <c r="AD59" s="425"/>
      <c r="AE59" s="425"/>
      <c r="AF59" s="424">
        <f t="shared" ref="AF59:AF65" si="73">AA59/G59/C59</f>
        <v>441156.686236139</v>
      </c>
    </row>
    <row r="60" s="295" customFormat="1" customHeight="1" spans="1:33">
      <c r="A60" s="318"/>
      <c r="B60" s="336"/>
      <c r="C60" s="320">
        <v>0.0452479338842975</v>
      </c>
      <c r="D60" s="336" t="s">
        <v>3253</v>
      </c>
      <c r="E60" s="322" t="s">
        <v>3300</v>
      </c>
      <c r="F60" s="323">
        <v>2000</v>
      </c>
      <c r="G60" s="324">
        <v>0.0014297385620915</v>
      </c>
      <c r="H60" s="325">
        <f t="shared" si="70"/>
        <v>1398857.14285715</v>
      </c>
      <c r="I60" s="375">
        <v>13.56</v>
      </c>
      <c r="J60" s="376" t="s">
        <v>3248</v>
      </c>
      <c r="K60" s="377">
        <f t="shared" si="71"/>
        <v>30915381.6046968</v>
      </c>
      <c r="L60" s="336" t="s">
        <v>3255</v>
      </c>
      <c r="M60" s="378">
        <f t="shared" si="52"/>
        <v>53.9787611661399</v>
      </c>
      <c r="N60" s="379">
        <f>1200*V60+7</f>
        <v>135.790418565517</v>
      </c>
      <c r="O60" s="379"/>
      <c r="P60" s="379"/>
      <c r="Q60" s="379"/>
      <c r="R60" s="379"/>
      <c r="S60" s="379"/>
      <c r="T60" s="379"/>
      <c r="U60" s="398">
        <f t="shared" si="3"/>
        <v>1841.31807574841</v>
      </c>
      <c r="V60" s="402">
        <f>Z60/(Z14+Z31+Z48+Z53+Z60+Z65+Z72+Z75)</f>
        <v>0.107325348804597</v>
      </c>
      <c r="W60" s="403">
        <f t="shared" si="11"/>
        <v>135.790418565517</v>
      </c>
      <c r="X60" s="404">
        <f t="shared" si="72"/>
        <v>94975.6984709674</v>
      </c>
      <c r="Y60" s="377">
        <f t="shared" si="38"/>
        <v>38914</v>
      </c>
      <c r="Z60" s="426">
        <f t="shared" si="54"/>
        <v>55.6368464052286</v>
      </c>
      <c r="AA60" s="427">
        <f t="shared" si="7"/>
        <v>80.1535721602881</v>
      </c>
      <c r="AB60" s="428"/>
      <c r="AC60" s="428"/>
      <c r="AD60" s="429"/>
      <c r="AE60" s="429"/>
      <c r="AF60" s="428">
        <f t="shared" si="73"/>
        <v>1238989.13515745</v>
      </c>
      <c r="AG60" s="441"/>
    </row>
    <row r="61" s="295" customFormat="1" customHeight="1" spans="1:32">
      <c r="A61" s="328"/>
      <c r="B61" s="343"/>
      <c r="C61" s="330">
        <v>0.0452479338842975</v>
      </c>
      <c r="D61" s="331"/>
      <c r="E61" s="343" t="s">
        <v>3198</v>
      </c>
      <c r="F61" s="333"/>
      <c r="G61" s="334">
        <v>1</v>
      </c>
      <c r="H61" s="353"/>
      <c r="I61" s="380">
        <v>0.78058344</v>
      </c>
      <c r="J61" s="381" t="s">
        <v>3248</v>
      </c>
      <c r="K61" s="382"/>
      <c r="L61" s="392"/>
      <c r="M61" s="383">
        <f t="shared" si="52"/>
        <v>37754.2878099173</v>
      </c>
      <c r="N61" s="384">
        <f>ROUNDUP($AB$4*$C61,0)</f>
        <v>38914</v>
      </c>
      <c r="O61" s="384">
        <v>19909</v>
      </c>
      <c r="P61" s="384">
        <v>19909</v>
      </c>
      <c r="Q61" s="384"/>
      <c r="R61" s="384"/>
      <c r="S61" s="384"/>
      <c r="T61" s="384"/>
      <c r="U61" s="405">
        <f t="shared" si="3"/>
        <v>61456.89539808</v>
      </c>
      <c r="V61" s="406"/>
      <c r="W61" s="407">
        <f t="shared" si="11"/>
        <v>78732</v>
      </c>
      <c r="X61" s="408"/>
      <c r="Y61" s="382">
        <f t="shared" si="38"/>
        <v>38914</v>
      </c>
      <c r="Z61" s="430">
        <f t="shared" si="54"/>
        <v>38914</v>
      </c>
      <c r="AA61" s="431">
        <f t="shared" si="7"/>
        <v>39818</v>
      </c>
      <c r="AB61" s="432"/>
      <c r="AC61" s="432"/>
      <c r="AD61" s="433"/>
      <c r="AE61" s="433"/>
      <c r="AF61" s="432"/>
    </row>
    <row r="62" s="295" customFormat="1" customHeight="1" spans="1:33">
      <c r="A62" s="310"/>
      <c r="B62" s="311" t="s">
        <v>3305</v>
      </c>
      <c r="C62" s="312">
        <v>0.0452479338842975</v>
      </c>
      <c r="D62" s="313" t="s">
        <v>3306</v>
      </c>
      <c r="E62" s="314" t="s">
        <v>3238</v>
      </c>
      <c r="F62" s="315">
        <v>2000</v>
      </c>
      <c r="G62" s="316">
        <v>0.00440705128205128</v>
      </c>
      <c r="H62" s="317">
        <f t="shared" si="70"/>
        <v>453818.181818182</v>
      </c>
      <c r="I62" s="369">
        <f t="shared" ref="I62:I64" si="74">32.3</f>
        <v>32.3</v>
      </c>
      <c r="J62" s="370" t="s">
        <v>3248</v>
      </c>
      <c r="K62" s="371">
        <f t="shared" si="71"/>
        <v>10029589.0410959</v>
      </c>
      <c r="L62" s="393"/>
      <c r="M62" s="373">
        <f t="shared" si="52"/>
        <v>166.385082495629</v>
      </c>
      <c r="N62" s="374">
        <f t="shared" ref="N62:N64" si="75">1200*V62</f>
        <v>435.042861480587</v>
      </c>
      <c r="O62" s="374"/>
      <c r="P62" s="374"/>
      <c r="Q62" s="374"/>
      <c r="R62" s="374"/>
      <c r="S62" s="374"/>
      <c r="T62" s="374"/>
      <c r="U62" s="398">
        <f t="shared" si="3"/>
        <v>14051.884425823</v>
      </c>
      <c r="V62" s="399">
        <f>Z62/SUM(Z62:Z64)</f>
        <v>0.362535717900489</v>
      </c>
      <c r="W62" s="400">
        <f t="shared" si="11"/>
        <v>435.042861480587</v>
      </c>
      <c r="X62" s="401">
        <f t="shared" si="72"/>
        <v>98715.1802050497</v>
      </c>
      <c r="Y62" s="371">
        <f t="shared" si="38"/>
        <v>38914</v>
      </c>
      <c r="Z62" s="422">
        <f t="shared" si="54"/>
        <v>171.495993589744</v>
      </c>
      <c r="AA62" s="423">
        <f t="shared" si="7"/>
        <v>263.546867890844</v>
      </c>
      <c r="AB62" s="424">
        <f>$AB$4*C62</f>
        <v>38913.2231404959</v>
      </c>
      <c r="AC62" s="424"/>
      <c r="AD62" s="425"/>
      <c r="AE62" s="425"/>
      <c r="AF62" s="424">
        <f t="shared" si="73"/>
        <v>1321633.38900658</v>
      </c>
      <c r="AG62" s="441"/>
    </row>
    <row r="63" s="295" customFormat="1" customHeight="1" spans="1:33">
      <c r="A63" s="318"/>
      <c r="B63" s="336"/>
      <c r="C63" s="320">
        <v>0.0452479338842975</v>
      </c>
      <c r="D63" s="326" t="s">
        <v>3306</v>
      </c>
      <c r="E63" s="322" t="s">
        <v>3280</v>
      </c>
      <c r="F63" s="323">
        <v>2000</v>
      </c>
      <c r="G63" s="324">
        <v>0.00306372549019608</v>
      </c>
      <c r="H63" s="325">
        <f t="shared" si="70"/>
        <v>652800</v>
      </c>
      <c r="I63" s="375">
        <f t="shared" si="74"/>
        <v>32.3</v>
      </c>
      <c r="J63" s="376" t="s">
        <v>3248</v>
      </c>
      <c r="K63" s="377">
        <f t="shared" si="71"/>
        <v>14427178.0821918</v>
      </c>
      <c r="L63" s="339"/>
      <c r="M63" s="378">
        <f t="shared" si="52"/>
        <v>115.668773927443</v>
      </c>
      <c r="N63" s="379">
        <f t="shared" si="75"/>
        <v>302.43621386351</v>
      </c>
      <c r="O63" s="379"/>
      <c r="P63" s="379"/>
      <c r="Q63" s="379"/>
      <c r="R63" s="379"/>
      <c r="S63" s="379"/>
      <c r="T63" s="379"/>
      <c r="U63" s="398">
        <f t="shared" si="3"/>
        <v>9768.68970779138</v>
      </c>
      <c r="V63" s="402">
        <f>Z63/SUM(Z62:Z64)</f>
        <v>0.252030178219592</v>
      </c>
      <c r="W63" s="403">
        <f t="shared" si="11"/>
        <v>302.43621386351</v>
      </c>
      <c r="X63" s="404">
        <f t="shared" si="72"/>
        <v>98715.1802050497</v>
      </c>
      <c r="Y63" s="377">
        <f t="shared" si="38"/>
        <v>38914</v>
      </c>
      <c r="Z63" s="426">
        <f t="shared" si="54"/>
        <v>119.22181372549</v>
      </c>
      <c r="AA63" s="427">
        <f t="shared" si="7"/>
        <v>183.21440013802</v>
      </c>
      <c r="AB63" s="428"/>
      <c r="AC63" s="428"/>
      <c r="AD63" s="429"/>
      <c r="AE63" s="429"/>
      <c r="AF63" s="428">
        <f t="shared" si="73"/>
        <v>1321633.38900658</v>
      </c>
      <c r="AG63" s="441"/>
    </row>
    <row r="64" s="295" customFormat="1" customHeight="1" spans="1:33">
      <c r="A64" s="318"/>
      <c r="B64" s="336"/>
      <c r="C64" s="320">
        <v>0.0452479338842975</v>
      </c>
      <c r="D64" s="326" t="s">
        <v>3306</v>
      </c>
      <c r="E64" s="322" t="s">
        <v>3307</v>
      </c>
      <c r="F64" s="327">
        <v>2000</v>
      </c>
      <c r="G64" s="324">
        <v>0.00468540829987</v>
      </c>
      <c r="H64" s="325">
        <f t="shared" si="70"/>
        <v>426857.14285679</v>
      </c>
      <c r="I64" s="375">
        <f t="shared" si="74"/>
        <v>32.3</v>
      </c>
      <c r="J64" s="376" t="s">
        <v>3248</v>
      </c>
      <c r="K64" s="377">
        <f t="shared" si="71"/>
        <v>9433737.76907245</v>
      </c>
      <c r="L64" s="391"/>
      <c r="M64" s="378">
        <f t="shared" si="52"/>
        <v>176.894253460267</v>
      </c>
      <c r="N64" s="379">
        <f t="shared" si="75"/>
        <v>462.520924655902</v>
      </c>
      <c r="O64" s="379"/>
      <c r="P64" s="379"/>
      <c r="Q64" s="379"/>
      <c r="R64" s="379"/>
      <c r="S64" s="379"/>
      <c r="T64" s="379"/>
      <c r="U64" s="398">
        <f t="shared" si="3"/>
        <v>14939.4258663856</v>
      </c>
      <c r="V64" s="402">
        <f>Z64/SUM(Z62:Z64)</f>
        <v>0.385434103879919</v>
      </c>
      <c r="W64" s="403">
        <f t="shared" si="11"/>
        <v>462.520924655902</v>
      </c>
      <c r="X64" s="404">
        <f t="shared" si="72"/>
        <v>98715.1802050497</v>
      </c>
      <c r="Y64" s="377">
        <f t="shared" si="38"/>
        <v>38914</v>
      </c>
      <c r="Z64" s="426">
        <f t="shared" si="54"/>
        <v>182.327978581141</v>
      </c>
      <c r="AA64" s="427">
        <f t="shared" si="7"/>
        <v>280.192946074761</v>
      </c>
      <c r="AB64" s="428"/>
      <c r="AC64" s="428"/>
      <c r="AD64" s="429"/>
      <c r="AE64" s="429"/>
      <c r="AF64" s="428">
        <f t="shared" si="73"/>
        <v>1321633.38900658</v>
      </c>
      <c r="AG64" s="441"/>
    </row>
    <row r="65" s="295" customFormat="1" customHeight="1" spans="1:33">
      <c r="A65" s="318"/>
      <c r="B65" s="336"/>
      <c r="C65" s="320">
        <v>0.0452479338842975</v>
      </c>
      <c r="D65" s="326" t="s">
        <v>3253</v>
      </c>
      <c r="E65" s="322" t="s">
        <v>3300</v>
      </c>
      <c r="F65" s="327">
        <v>2000</v>
      </c>
      <c r="G65" s="324">
        <v>0.00162037037037037</v>
      </c>
      <c r="H65" s="325">
        <f t="shared" si="70"/>
        <v>1234285.71428571</v>
      </c>
      <c r="I65" s="375">
        <v>13.56</v>
      </c>
      <c r="J65" s="376" t="s">
        <v>3248</v>
      </c>
      <c r="K65" s="377">
        <f t="shared" si="71"/>
        <v>27278277.8864971</v>
      </c>
      <c r="L65" s="336" t="s">
        <v>3255</v>
      </c>
      <c r="M65" s="378">
        <f t="shared" si="52"/>
        <v>61.1759293216253</v>
      </c>
      <c r="N65" s="379">
        <f>1200*V65+7</f>
        <v>152.962474374253</v>
      </c>
      <c r="O65" s="379"/>
      <c r="P65" s="379"/>
      <c r="Q65" s="379"/>
      <c r="R65" s="379"/>
      <c r="S65" s="379"/>
      <c r="T65" s="379"/>
      <c r="U65" s="398">
        <f t="shared" si="3"/>
        <v>2074.17115251487</v>
      </c>
      <c r="V65" s="402">
        <f>Z65/(Z14+Z31+Z48+Z53+Z60+Z65+Z72+Z75)</f>
        <v>0.121635395311877</v>
      </c>
      <c r="W65" s="403">
        <f t="shared" si="11"/>
        <v>152.962474374253</v>
      </c>
      <c r="X65" s="404">
        <f t="shared" si="72"/>
        <v>94399.6984709673</v>
      </c>
      <c r="Y65" s="377">
        <f t="shared" si="38"/>
        <v>38914</v>
      </c>
      <c r="Z65" s="426">
        <f t="shared" si="54"/>
        <v>63.0550925925926</v>
      </c>
      <c r="AA65" s="427">
        <f t="shared" si="7"/>
        <v>89.90738178166</v>
      </c>
      <c r="AB65" s="428"/>
      <c r="AC65" s="428"/>
      <c r="AD65" s="429"/>
      <c r="AE65" s="429"/>
      <c r="AF65" s="428">
        <f t="shared" si="73"/>
        <v>1226259.27214375</v>
      </c>
      <c r="AG65" s="441"/>
    </row>
    <row r="66" s="295" customFormat="1" customHeight="1" spans="1:32">
      <c r="A66" s="328"/>
      <c r="B66" s="343"/>
      <c r="C66" s="330">
        <v>0.0452479338842975</v>
      </c>
      <c r="D66" s="331"/>
      <c r="E66" s="343" t="s">
        <v>3198</v>
      </c>
      <c r="F66" s="333"/>
      <c r="G66" s="334">
        <v>1</v>
      </c>
      <c r="H66" s="353"/>
      <c r="I66" s="380">
        <v>0.854282</v>
      </c>
      <c r="J66" s="381" t="s">
        <v>3248</v>
      </c>
      <c r="K66" s="382"/>
      <c r="L66" s="392"/>
      <c r="M66" s="383">
        <f t="shared" si="52"/>
        <v>37754.2878099173</v>
      </c>
      <c r="N66" s="384">
        <f t="shared" ref="N66:N69" si="76">ROUNDUP($AB$4*$C66,0)</f>
        <v>38914</v>
      </c>
      <c r="O66" s="384">
        <v>19909</v>
      </c>
      <c r="P66" s="384">
        <v>19909</v>
      </c>
      <c r="Q66" s="384"/>
      <c r="R66" s="384"/>
      <c r="S66" s="384"/>
      <c r="T66" s="384"/>
      <c r="U66" s="405">
        <f t="shared" si="3"/>
        <v>67259.330424</v>
      </c>
      <c r="V66" s="406"/>
      <c r="W66" s="407">
        <f t="shared" si="11"/>
        <v>78732</v>
      </c>
      <c r="X66" s="408"/>
      <c r="Y66" s="382">
        <f t="shared" si="38"/>
        <v>38914</v>
      </c>
      <c r="Z66" s="430">
        <f t="shared" si="54"/>
        <v>38914</v>
      </c>
      <c r="AA66" s="431">
        <f t="shared" si="7"/>
        <v>39818</v>
      </c>
      <c r="AB66" s="432"/>
      <c r="AC66" s="432"/>
      <c r="AD66" s="433"/>
      <c r="AE66" s="433"/>
      <c r="AF66" s="432"/>
    </row>
    <row r="67" s="295" customFormat="1" ht="97.5" customHeight="1" spans="1:32">
      <c r="A67" s="344"/>
      <c r="B67" s="345" t="s">
        <v>3308</v>
      </c>
      <c r="C67" s="346">
        <v>0.0452479338842975</v>
      </c>
      <c r="D67" s="347"/>
      <c r="E67" s="345" t="s">
        <v>3198</v>
      </c>
      <c r="F67" s="348"/>
      <c r="G67" s="443">
        <v>1</v>
      </c>
      <c r="H67" s="444">
        <v>0</v>
      </c>
      <c r="I67" s="386">
        <v>0.225260176</v>
      </c>
      <c r="J67" s="387" t="s">
        <v>3248</v>
      </c>
      <c r="K67" s="388"/>
      <c r="L67" s="348"/>
      <c r="M67" s="389"/>
      <c r="N67" s="384">
        <f t="shared" si="76"/>
        <v>38914</v>
      </c>
      <c r="O67" s="390">
        <v>19909</v>
      </c>
      <c r="P67" s="390">
        <v>19909</v>
      </c>
      <c r="Q67" s="390"/>
      <c r="R67" s="390"/>
      <c r="S67" s="390"/>
      <c r="T67" s="390"/>
      <c r="U67" s="412">
        <f t="shared" si="3"/>
        <v>17735.184176832</v>
      </c>
      <c r="V67" s="413"/>
      <c r="W67" s="407">
        <f t="shared" si="11"/>
        <v>78732</v>
      </c>
      <c r="X67" s="414"/>
      <c r="Y67" s="382">
        <f t="shared" si="38"/>
        <v>38914</v>
      </c>
      <c r="Z67" s="434"/>
      <c r="AA67" s="435">
        <f t="shared" si="7"/>
        <v>78732</v>
      </c>
      <c r="AB67" s="436">
        <f t="shared" ref="AB67:AB70" si="77">$AB$4*C67</f>
        <v>38913.2231404959</v>
      </c>
      <c r="AC67" s="436"/>
      <c r="AD67" s="437"/>
      <c r="AE67" s="437"/>
      <c r="AF67" s="436"/>
    </row>
    <row r="68" s="295" customFormat="1" ht="40" customHeight="1" spans="1:34">
      <c r="A68" s="310"/>
      <c r="B68" s="311" t="s">
        <v>3309</v>
      </c>
      <c r="C68" s="312">
        <v>0.0452479338842975</v>
      </c>
      <c r="D68" s="313" t="s">
        <v>3310</v>
      </c>
      <c r="E68" s="314" t="s">
        <v>3238</v>
      </c>
      <c r="F68" s="445">
        <v>2000</v>
      </c>
      <c r="G68" s="316">
        <v>0.00551470588235294</v>
      </c>
      <c r="H68" s="317">
        <f t="shared" ref="H68:H72" si="78">F68/G68</f>
        <v>362666.666666667</v>
      </c>
      <c r="I68" s="369">
        <v>32.3</v>
      </c>
      <c r="J68" s="370" t="s">
        <v>3248</v>
      </c>
      <c r="K68" s="371">
        <f t="shared" ref="K68:K72" si="79">F68/C68/G68</f>
        <v>8015098.934551</v>
      </c>
      <c r="L68" s="372"/>
      <c r="M68" s="373">
        <f t="shared" ref="M68:M115" si="80">C68*$K$3*G68</f>
        <v>208.203793069397</v>
      </c>
      <c r="N68" s="374">
        <v>105</v>
      </c>
      <c r="O68" s="374">
        <v>110</v>
      </c>
      <c r="P68" s="374">
        <v>110</v>
      </c>
      <c r="Q68" s="374"/>
      <c r="R68" s="374"/>
      <c r="S68" s="374"/>
      <c r="T68" s="374"/>
      <c r="U68" s="398">
        <f t="shared" si="3"/>
        <v>10497.5</v>
      </c>
      <c r="V68" s="399"/>
      <c r="W68" s="400">
        <f t="shared" si="11"/>
        <v>325</v>
      </c>
      <c r="X68" s="401">
        <f t="shared" ref="X68:X72" si="81">W68/G68</f>
        <v>58933.3333333334</v>
      </c>
      <c r="Y68" s="371">
        <f t="shared" si="38"/>
        <v>38914</v>
      </c>
      <c r="Z68" s="422">
        <f t="shared" ref="Z68:Z115" si="82">Y68*G68</f>
        <v>214.599264705882</v>
      </c>
      <c r="AA68" s="423">
        <f t="shared" si="7"/>
        <v>110.400735294118</v>
      </c>
      <c r="AB68" s="424">
        <f t="shared" si="77"/>
        <v>38913.2231404959</v>
      </c>
      <c r="AC68" s="424"/>
      <c r="AD68" s="425"/>
      <c r="AE68" s="425"/>
      <c r="AF68" s="424">
        <f t="shared" ref="AF68:AF72" si="83">AA68/G68/C68</f>
        <v>442436.407914765</v>
      </c>
      <c r="AG68" s="440"/>
      <c r="AH68" s="439">
        <f t="shared" ref="AH68:AH71" si="84">U68*1.5</f>
        <v>15746.25</v>
      </c>
    </row>
    <row r="69" s="295" customFormat="1" ht="40" customHeight="1" spans="1:32">
      <c r="A69" s="328"/>
      <c r="B69" s="343"/>
      <c r="C69" s="330">
        <v>0.0452479338842975</v>
      </c>
      <c r="D69" s="331"/>
      <c r="E69" s="332" t="s">
        <v>3198</v>
      </c>
      <c r="F69" s="357"/>
      <c r="G69" s="334">
        <v>1</v>
      </c>
      <c r="H69" s="353"/>
      <c r="I69" s="380">
        <v>0.81164</v>
      </c>
      <c r="J69" s="381" t="s">
        <v>3248</v>
      </c>
      <c r="K69" s="382"/>
      <c r="L69" s="337"/>
      <c r="M69" s="383">
        <f t="shared" si="80"/>
        <v>37754.2878099173</v>
      </c>
      <c r="N69" s="384">
        <f t="shared" si="76"/>
        <v>38914</v>
      </c>
      <c r="O69" s="384">
        <v>19909</v>
      </c>
      <c r="P69" s="384">
        <v>19909</v>
      </c>
      <c r="Q69" s="384"/>
      <c r="R69" s="384"/>
      <c r="S69" s="384"/>
      <c r="T69" s="384"/>
      <c r="U69" s="405">
        <f t="shared" ref="U69:U115" si="85">SUM(N69:S69)*I69</f>
        <v>63902.04048</v>
      </c>
      <c r="V69" s="406"/>
      <c r="W69" s="407">
        <f t="shared" ref="W69:W115" si="86">SUM(N69:S69)</f>
        <v>78732</v>
      </c>
      <c r="X69" s="408"/>
      <c r="Y69" s="382">
        <f t="shared" si="38"/>
        <v>38914</v>
      </c>
      <c r="Z69" s="430">
        <f t="shared" si="82"/>
        <v>38914</v>
      </c>
      <c r="AA69" s="431">
        <f t="shared" ref="AA69:AA115" si="87">W69-Z69</f>
        <v>39818</v>
      </c>
      <c r="AB69" s="432"/>
      <c r="AC69" s="432"/>
      <c r="AD69" s="433"/>
      <c r="AE69" s="433"/>
      <c r="AF69" s="432"/>
    </row>
    <row r="70" s="295" customFormat="1" customHeight="1" spans="1:34">
      <c r="A70" s="310"/>
      <c r="B70" s="311" t="s">
        <v>3311</v>
      </c>
      <c r="C70" s="312">
        <v>0.0452479338842975</v>
      </c>
      <c r="D70" s="313" t="s">
        <v>3312</v>
      </c>
      <c r="E70" s="314" t="s">
        <v>3238</v>
      </c>
      <c r="F70" s="315">
        <v>2000</v>
      </c>
      <c r="G70" s="316">
        <v>0.0046741452991453</v>
      </c>
      <c r="H70" s="317">
        <f t="shared" si="78"/>
        <v>427885.714285714</v>
      </c>
      <c r="I70" s="369">
        <v>32.3</v>
      </c>
      <c r="J70" s="370" t="s">
        <v>3248</v>
      </c>
      <c r="K70" s="371">
        <f t="shared" si="79"/>
        <v>9456469.66731899</v>
      </c>
      <c r="L70" s="372"/>
      <c r="M70" s="373">
        <f t="shared" si="80"/>
        <v>176.469026889304</v>
      </c>
      <c r="N70" s="374">
        <v>89</v>
      </c>
      <c r="O70" s="374">
        <v>93</v>
      </c>
      <c r="P70" s="374">
        <v>93</v>
      </c>
      <c r="Q70" s="374"/>
      <c r="R70" s="374"/>
      <c r="S70" s="374"/>
      <c r="T70" s="374"/>
      <c r="U70" s="398">
        <f t="shared" si="85"/>
        <v>8882.5</v>
      </c>
      <c r="V70" s="399">
        <f>Z70/(Z70+Z71)</f>
        <v>0.720680393912265</v>
      </c>
      <c r="W70" s="400">
        <f t="shared" si="86"/>
        <v>275</v>
      </c>
      <c r="X70" s="401">
        <f t="shared" si="81"/>
        <v>58834.2857142857</v>
      </c>
      <c r="Y70" s="371">
        <f t="shared" si="38"/>
        <v>38914</v>
      </c>
      <c r="Z70" s="422">
        <f t="shared" si="82"/>
        <v>181.88969017094</v>
      </c>
      <c r="AA70" s="423">
        <f t="shared" si="87"/>
        <v>93.1103098290598</v>
      </c>
      <c r="AB70" s="424">
        <f t="shared" si="77"/>
        <v>38913.2231404959</v>
      </c>
      <c r="AC70" s="424"/>
      <c r="AD70" s="425"/>
      <c r="AE70" s="425"/>
      <c r="AF70" s="424">
        <f t="shared" si="83"/>
        <v>440247.410306588</v>
      </c>
      <c r="AG70" s="440"/>
      <c r="AH70" s="439">
        <f t="shared" si="84"/>
        <v>13323.75</v>
      </c>
    </row>
    <row r="71" s="295" customFormat="1" customHeight="1" spans="1:34">
      <c r="A71" s="318"/>
      <c r="B71" s="336"/>
      <c r="C71" s="320">
        <v>0.0452479338842975</v>
      </c>
      <c r="D71" s="326" t="s">
        <v>3312</v>
      </c>
      <c r="E71" s="322" t="s">
        <v>3280</v>
      </c>
      <c r="F71" s="323">
        <v>2000</v>
      </c>
      <c r="G71" s="324">
        <v>0.00181159420289855</v>
      </c>
      <c r="H71" s="325">
        <f t="shared" si="78"/>
        <v>1104000</v>
      </c>
      <c r="I71" s="375">
        <v>32.3</v>
      </c>
      <c r="J71" s="376" t="s">
        <v>3248</v>
      </c>
      <c r="K71" s="377">
        <f t="shared" si="79"/>
        <v>24398904.1095891</v>
      </c>
      <c r="L71" s="339"/>
      <c r="M71" s="378">
        <f t="shared" si="80"/>
        <v>68.3954489310097</v>
      </c>
      <c r="N71" s="379">
        <v>35</v>
      </c>
      <c r="O71" s="379">
        <v>36</v>
      </c>
      <c r="P71" s="379">
        <v>36</v>
      </c>
      <c r="Q71" s="379"/>
      <c r="R71" s="379"/>
      <c r="S71" s="379"/>
      <c r="T71" s="379"/>
      <c r="U71" s="398">
        <f t="shared" si="85"/>
        <v>3456.1</v>
      </c>
      <c r="V71" s="463">
        <f>Z71/(Z70+Z71)</f>
        <v>0.279319606087735</v>
      </c>
      <c r="W71" s="403">
        <f t="shared" si="86"/>
        <v>107</v>
      </c>
      <c r="X71" s="404">
        <f t="shared" si="81"/>
        <v>59064</v>
      </c>
      <c r="Y71" s="377">
        <f t="shared" si="38"/>
        <v>38914</v>
      </c>
      <c r="Z71" s="426">
        <f t="shared" si="82"/>
        <v>70.4963768115942</v>
      </c>
      <c r="AA71" s="427">
        <f t="shared" si="87"/>
        <v>36.5036231884058</v>
      </c>
      <c r="AB71" s="428"/>
      <c r="AC71" s="428"/>
      <c r="AD71" s="429"/>
      <c r="AE71" s="429"/>
      <c r="AF71" s="428">
        <f t="shared" si="83"/>
        <v>445324.200913243</v>
      </c>
      <c r="AG71" s="440"/>
      <c r="AH71" s="439">
        <f t="shared" si="84"/>
        <v>5184.15</v>
      </c>
    </row>
    <row r="72" s="295" customFormat="1" customHeight="1" spans="1:33">
      <c r="A72" s="318"/>
      <c r="B72" s="336"/>
      <c r="C72" s="320">
        <v>0.0452479338842975</v>
      </c>
      <c r="D72" s="326" t="s">
        <v>3253</v>
      </c>
      <c r="E72" s="322" t="s">
        <v>3300</v>
      </c>
      <c r="F72" s="323">
        <v>2000</v>
      </c>
      <c r="G72" s="324">
        <v>0.00153186274509804</v>
      </c>
      <c r="H72" s="325">
        <f t="shared" si="78"/>
        <v>1305600</v>
      </c>
      <c r="I72" s="375">
        <v>13.56</v>
      </c>
      <c r="J72" s="376" t="s">
        <v>3248</v>
      </c>
      <c r="K72" s="377">
        <f t="shared" si="79"/>
        <v>28854356.1643836</v>
      </c>
      <c r="L72" s="336" t="s">
        <v>3255</v>
      </c>
      <c r="M72" s="378">
        <f t="shared" si="80"/>
        <v>57.8343869637214</v>
      </c>
      <c r="N72" s="379">
        <f>1200*V72+7</f>
        <v>144.98973417734</v>
      </c>
      <c r="O72" s="379"/>
      <c r="P72" s="379"/>
      <c r="Q72" s="379"/>
      <c r="R72" s="379"/>
      <c r="S72" s="379"/>
      <c r="T72" s="379"/>
      <c r="U72" s="398">
        <f t="shared" si="85"/>
        <v>1966.06079544473</v>
      </c>
      <c r="V72" s="402">
        <f>Z72/(Z14+Z31+Z48+Z53+Z60+Z65+Z72+Z75)</f>
        <v>0.114991445147783</v>
      </c>
      <c r="W72" s="403">
        <f t="shared" si="86"/>
        <v>144.98973417734</v>
      </c>
      <c r="X72" s="404">
        <f t="shared" si="81"/>
        <v>94649.2984709673</v>
      </c>
      <c r="Y72" s="377">
        <f t="shared" si="38"/>
        <v>38914</v>
      </c>
      <c r="Z72" s="426">
        <f t="shared" si="82"/>
        <v>59.6109068627451</v>
      </c>
      <c r="AA72" s="427">
        <f t="shared" si="87"/>
        <v>85.3788273145946</v>
      </c>
      <c r="AB72" s="428"/>
      <c r="AC72" s="428"/>
      <c r="AD72" s="429"/>
      <c r="AE72" s="429"/>
      <c r="AF72" s="428">
        <f t="shared" si="83"/>
        <v>1231775.54611636</v>
      </c>
      <c r="AG72" s="441"/>
    </row>
    <row r="73" s="295" customFormat="1" customHeight="1" spans="1:32">
      <c r="A73" s="328"/>
      <c r="B73" s="343"/>
      <c r="C73" s="330">
        <v>0.0452479338842975</v>
      </c>
      <c r="D73" s="331"/>
      <c r="E73" s="332" t="s">
        <v>3198</v>
      </c>
      <c r="F73" s="357"/>
      <c r="G73" s="334">
        <v>1</v>
      </c>
      <c r="H73" s="353"/>
      <c r="I73" s="380">
        <v>1.21341416</v>
      </c>
      <c r="J73" s="381" t="s">
        <v>3248</v>
      </c>
      <c r="K73" s="382"/>
      <c r="L73" s="392"/>
      <c r="M73" s="383">
        <f t="shared" si="80"/>
        <v>37754.2878099173</v>
      </c>
      <c r="N73" s="384">
        <f>ROUNDUP($AB$4*$C73,0)</f>
        <v>38914</v>
      </c>
      <c r="O73" s="384">
        <v>19909</v>
      </c>
      <c r="P73" s="384">
        <v>19909</v>
      </c>
      <c r="Q73" s="384"/>
      <c r="R73" s="384"/>
      <c r="S73" s="384"/>
      <c r="T73" s="384"/>
      <c r="U73" s="405">
        <f t="shared" si="85"/>
        <v>95534.52364512</v>
      </c>
      <c r="V73" s="406"/>
      <c r="W73" s="407">
        <f t="shared" si="86"/>
        <v>78732</v>
      </c>
      <c r="X73" s="408"/>
      <c r="Y73" s="382">
        <f t="shared" si="38"/>
        <v>38914</v>
      </c>
      <c r="Z73" s="430">
        <f t="shared" si="82"/>
        <v>38914</v>
      </c>
      <c r="AA73" s="431">
        <f t="shared" si="87"/>
        <v>39818</v>
      </c>
      <c r="AB73" s="432"/>
      <c r="AC73" s="432"/>
      <c r="AD73" s="433"/>
      <c r="AE73" s="433"/>
      <c r="AF73" s="432"/>
    </row>
    <row r="74" s="295" customFormat="1" customHeight="1" spans="1:32">
      <c r="A74" s="310"/>
      <c r="B74" s="311" t="s">
        <v>3313</v>
      </c>
      <c r="C74" s="312">
        <v>0.0452479338842975</v>
      </c>
      <c r="D74" s="314" t="s">
        <v>3246</v>
      </c>
      <c r="E74" s="311" t="s">
        <v>3314</v>
      </c>
      <c r="F74" s="315">
        <v>500</v>
      </c>
      <c r="G74" s="316">
        <v>0.01289992239115</v>
      </c>
      <c r="H74" s="317">
        <f t="shared" ref="H74:H81" si="88">F74/G74</f>
        <v>38759.9231095394</v>
      </c>
      <c r="I74" s="369">
        <v>17.3</v>
      </c>
      <c r="J74" s="370" t="s">
        <v>3248</v>
      </c>
      <c r="K74" s="371">
        <f t="shared" ref="K74:K81" si="89">F74/C74/G74</f>
        <v>856611.999315849</v>
      </c>
      <c r="L74" s="311" t="s">
        <v>3249</v>
      </c>
      <c r="M74" s="373">
        <f t="shared" si="80"/>
        <v>487.027382681074</v>
      </c>
      <c r="N74" s="374">
        <v>246</v>
      </c>
      <c r="O74" s="374">
        <v>256</v>
      </c>
      <c r="P74" s="374">
        <v>257</v>
      </c>
      <c r="Q74" s="374"/>
      <c r="R74" s="374"/>
      <c r="S74" s="374"/>
      <c r="T74" s="374"/>
      <c r="U74" s="398">
        <f t="shared" si="85"/>
        <v>13130.7</v>
      </c>
      <c r="V74" s="399"/>
      <c r="W74" s="400">
        <f t="shared" si="86"/>
        <v>759</v>
      </c>
      <c r="X74" s="401">
        <f t="shared" ref="X74:X81" si="90">W74/G74</f>
        <v>58837.5632802808</v>
      </c>
      <c r="Y74" s="371">
        <f t="shared" si="38"/>
        <v>38914</v>
      </c>
      <c r="Z74" s="422">
        <f t="shared" si="82"/>
        <v>501.987579929211</v>
      </c>
      <c r="AA74" s="423">
        <f t="shared" si="87"/>
        <v>257.012420070789</v>
      </c>
      <c r="AB74" s="424">
        <f>$AB$4*C74</f>
        <v>38913.2231404959</v>
      </c>
      <c r="AC74" s="424"/>
      <c r="AD74" s="425"/>
      <c r="AE74" s="425"/>
      <c r="AF74" s="424">
        <f t="shared" ref="AF74:AF81" si="91">AA74/G74/C74</f>
        <v>440319.846011687</v>
      </c>
    </row>
    <row r="75" s="295" customFormat="1" customHeight="1" spans="1:33">
      <c r="A75" s="318"/>
      <c r="B75" s="336"/>
      <c r="C75" s="320">
        <v>0.0452479338842975</v>
      </c>
      <c r="D75" s="326" t="s">
        <v>3253</v>
      </c>
      <c r="E75" s="336" t="s">
        <v>3300</v>
      </c>
      <c r="F75" s="323">
        <v>2000</v>
      </c>
      <c r="G75" s="324">
        <v>0.00153186274509804</v>
      </c>
      <c r="H75" s="325">
        <f t="shared" si="88"/>
        <v>1305600</v>
      </c>
      <c r="I75" s="375">
        <v>13.56</v>
      </c>
      <c r="J75" s="376" t="s">
        <v>3248</v>
      </c>
      <c r="K75" s="377">
        <f t="shared" si="89"/>
        <v>28854356.1643836</v>
      </c>
      <c r="L75" s="336" t="s">
        <v>3255</v>
      </c>
      <c r="M75" s="378">
        <f t="shared" si="80"/>
        <v>57.8343869637214</v>
      </c>
      <c r="N75" s="379">
        <f>1200*V75+7</f>
        <v>144.98973417734</v>
      </c>
      <c r="O75" s="379"/>
      <c r="P75" s="379"/>
      <c r="Q75" s="379"/>
      <c r="R75" s="379"/>
      <c r="S75" s="379"/>
      <c r="T75" s="379"/>
      <c r="U75" s="398">
        <f t="shared" si="85"/>
        <v>1966.06079544473</v>
      </c>
      <c r="V75" s="402">
        <f>Z75/(Z14+Z31+Z48+Z53+Z60+Z65+Z72+Z75)</f>
        <v>0.114991445147783</v>
      </c>
      <c r="W75" s="403">
        <f t="shared" si="86"/>
        <v>144.98973417734</v>
      </c>
      <c r="X75" s="404">
        <f t="shared" si="90"/>
        <v>94649.2984709673</v>
      </c>
      <c r="Y75" s="377">
        <f t="shared" si="38"/>
        <v>38914</v>
      </c>
      <c r="Z75" s="426">
        <f t="shared" si="82"/>
        <v>59.6109068627451</v>
      </c>
      <c r="AA75" s="427">
        <f t="shared" si="87"/>
        <v>85.3788273145946</v>
      </c>
      <c r="AB75" s="428"/>
      <c r="AC75" s="428"/>
      <c r="AD75" s="429"/>
      <c r="AE75" s="429"/>
      <c r="AF75" s="428">
        <f t="shared" si="91"/>
        <v>1231775.54611636</v>
      </c>
      <c r="AG75" s="441"/>
    </row>
    <row r="76" s="295" customFormat="1" customHeight="1" spans="1:32">
      <c r="A76" s="328"/>
      <c r="B76" s="343"/>
      <c r="C76" s="330">
        <v>0.0452479338842975</v>
      </c>
      <c r="D76" s="331"/>
      <c r="E76" s="343" t="s">
        <v>3198</v>
      </c>
      <c r="F76" s="333"/>
      <c r="G76" s="334">
        <v>1</v>
      </c>
      <c r="H76" s="353"/>
      <c r="I76" s="380">
        <v>0.2805823</v>
      </c>
      <c r="J76" s="381" t="s">
        <v>3248</v>
      </c>
      <c r="K76" s="382"/>
      <c r="L76" s="337"/>
      <c r="M76" s="383">
        <f t="shared" si="80"/>
        <v>37754.2878099173</v>
      </c>
      <c r="N76" s="384">
        <f>ROUNDUP($AB$4*$C76,0)</f>
        <v>38914</v>
      </c>
      <c r="O76" s="384">
        <v>19909</v>
      </c>
      <c r="P76" s="384">
        <v>19909</v>
      </c>
      <c r="Q76" s="384"/>
      <c r="R76" s="384"/>
      <c r="S76" s="384"/>
      <c r="T76" s="384"/>
      <c r="U76" s="405">
        <f t="shared" si="85"/>
        <v>22090.8056436</v>
      </c>
      <c r="V76" s="406"/>
      <c r="W76" s="407">
        <f t="shared" si="86"/>
        <v>78732</v>
      </c>
      <c r="X76" s="408"/>
      <c r="Y76" s="382">
        <f t="shared" si="38"/>
        <v>38914</v>
      </c>
      <c r="Z76" s="430">
        <f t="shared" si="82"/>
        <v>38914</v>
      </c>
      <c r="AA76" s="431">
        <f t="shared" si="87"/>
        <v>39818</v>
      </c>
      <c r="AB76" s="432"/>
      <c r="AC76" s="432"/>
      <c r="AD76" s="433"/>
      <c r="AE76" s="433"/>
      <c r="AF76" s="432"/>
    </row>
    <row r="77" s="295" customFormat="1" customHeight="1" spans="1:32">
      <c r="A77" s="310"/>
      <c r="B77" s="311" t="s">
        <v>3315</v>
      </c>
      <c r="C77" s="312">
        <v>0.0452479338842975</v>
      </c>
      <c r="D77" s="313" t="s">
        <v>3316</v>
      </c>
      <c r="E77" s="314" t="s">
        <v>3317</v>
      </c>
      <c r="F77" s="315">
        <v>500</v>
      </c>
      <c r="G77" s="316">
        <v>0.00549768518519</v>
      </c>
      <c r="H77" s="317">
        <f t="shared" si="88"/>
        <v>90947.368420973</v>
      </c>
      <c r="I77" s="369">
        <v>17.3</v>
      </c>
      <c r="J77" s="370" t="s">
        <v>3248</v>
      </c>
      <c r="K77" s="371">
        <f t="shared" si="89"/>
        <v>2009978.37058224</v>
      </c>
      <c r="L77" s="372"/>
      <c r="M77" s="373">
        <f t="shared" si="80"/>
        <v>207.561188769982</v>
      </c>
      <c r="N77" s="374">
        <f>500*V77</f>
        <v>330.667920978461</v>
      </c>
      <c r="O77" s="374"/>
      <c r="P77" s="374"/>
      <c r="Q77" s="374"/>
      <c r="R77" s="374"/>
      <c r="S77" s="379"/>
      <c r="T77" s="379"/>
      <c r="U77" s="398">
        <f t="shared" si="85"/>
        <v>5720.55503292738</v>
      </c>
      <c r="V77" s="399">
        <f>Z77/(Z77+Z78)</f>
        <v>0.661335841956922</v>
      </c>
      <c r="W77" s="400">
        <f t="shared" si="86"/>
        <v>330.667920978461</v>
      </c>
      <c r="X77" s="401">
        <f t="shared" si="90"/>
        <v>60146.7544684506</v>
      </c>
      <c r="Y77" s="371">
        <f t="shared" si="38"/>
        <v>38914</v>
      </c>
      <c r="Z77" s="422">
        <f t="shared" si="82"/>
        <v>213.936921296484</v>
      </c>
      <c r="AA77" s="423">
        <f t="shared" si="87"/>
        <v>116.730999681977</v>
      </c>
      <c r="AB77" s="424">
        <f>$AB$4*C77</f>
        <v>38913.2231404959</v>
      </c>
      <c r="AC77" s="424"/>
      <c r="AD77" s="425"/>
      <c r="AE77" s="425"/>
      <c r="AF77" s="424">
        <f t="shared" si="91"/>
        <v>469253.569074432</v>
      </c>
    </row>
    <row r="78" s="295" customFormat="1" customHeight="1" spans="1:32">
      <c r="A78" s="318"/>
      <c r="B78" s="319"/>
      <c r="C78" s="320">
        <v>0.0452479338842975</v>
      </c>
      <c r="D78" s="321" t="s">
        <v>3316</v>
      </c>
      <c r="E78" s="322" t="s">
        <v>3318</v>
      </c>
      <c r="F78" s="323">
        <v>500</v>
      </c>
      <c r="G78" s="324">
        <v>0.00281531531531532</v>
      </c>
      <c r="H78" s="325">
        <f t="shared" si="88"/>
        <v>177600</v>
      </c>
      <c r="I78" s="375">
        <v>17.3</v>
      </c>
      <c r="J78" s="376" t="s">
        <v>3248</v>
      </c>
      <c r="K78" s="377">
        <f t="shared" si="89"/>
        <v>3925041.09589041</v>
      </c>
      <c r="L78" s="339"/>
      <c r="M78" s="378">
        <f t="shared" si="80"/>
        <v>106.290224690083</v>
      </c>
      <c r="N78" s="379">
        <f>500*V78</f>
        <v>169.332079021539</v>
      </c>
      <c r="O78" s="379"/>
      <c r="P78" s="379"/>
      <c r="Q78" s="379"/>
      <c r="R78" s="379"/>
      <c r="S78" s="379"/>
      <c r="T78" s="379"/>
      <c r="U78" s="398">
        <f t="shared" si="85"/>
        <v>2929.44496707262</v>
      </c>
      <c r="V78" s="402">
        <f>Z78/(Z77+Z78)</f>
        <v>0.338664158043078</v>
      </c>
      <c r="W78" s="403">
        <f t="shared" si="86"/>
        <v>169.332079021539</v>
      </c>
      <c r="X78" s="404">
        <f t="shared" si="90"/>
        <v>60146.7544684505</v>
      </c>
      <c r="Y78" s="377">
        <f t="shared" si="38"/>
        <v>38914</v>
      </c>
      <c r="Z78" s="426">
        <f t="shared" si="82"/>
        <v>109.55518018018</v>
      </c>
      <c r="AA78" s="427">
        <f t="shared" si="87"/>
        <v>59.7768988413586</v>
      </c>
      <c r="AB78" s="428"/>
      <c r="AC78" s="428"/>
      <c r="AD78" s="429"/>
      <c r="AE78" s="429"/>
      <c r="AF78" s="428">
        <f t="shared" si="91"/>
        <v>469253.569074432</v>
      </c>
    </row>
    <row r="79" s="295" customFormat="1" customHeight="1" spans="1:34">
      <c r="A79" s="318"/>
      <c r="B79" s="319"/>
      <c r="C79" s="320">
        <v>0.0452479338842975</v>
      </c>
      <c r="D79" s="326" t="s">
        <v>3319</v>
      </c>
      <c r="E79" s="322" t="s">
        <v>3320</v>
      </c>
      <c r="F79" s="327">
        <v>2000</v>
      </c>
      <c r="G79" s="324">
        <v>0.0044849537037</v>
      </c>
      <c r="H79" s="325">
        <f t="shared" si="88"/>
        <v>445935.483871336</v>
      </c>
      <c r="I79" s="375">
        <v>32.3</v>
      </c>
      <c r="J79" s="376" t="s">
        <v>3248</v>
      </c>
      <c r="K79" s="377">
        <f t="shared" si="89"/>
        <v>9855377.81706515</v>
      </c>
      <c r="L79" s="339"/>
      <c r="M79" s="378">
        <f t="shared" si="80"/>
        <v>169.326232943645</v>
      </c>
      <c r="N79" s="379">
        <v>86</v>
      </c>
      <c r="O79" s="379">
        <v>89</v>
      </c>
      <c r="P79" s="379">
        <v>89</v>
      </c>
      <c r="Q79" s="379"/>
      <c r="R79" s="379"/>
      <c r="S79" s="379"/>
      <c r="T79" s="379"/>
      <c r="U79" s="398">
        <f t="shared" si="85"/>
        <v>8527.2</v>
      </c>
      <c r="V79" s="402">
        <f>Z79/SUM(Z79:Z81)</f>
        <v>0.484711917458602</v>
      </c>
      <c r="W79" s="403">
        <f t="shared" si="86"/>
        <v>264</v>
      </c>
      <c r="X79" s="404">
        <f t="shared" si="90"/>
        <v>58863.4838710164</v>
      </c>
      <c r="Y79" s="377">
        <f t="shared" si="38"/>
        <v>38914</v>
      </c>
      <c r="Z79" s="426">
        <f t="shared" si="82"/>
        <v>174.527488425782</v>
      </c>
      <c r="AA79" s="427">
        <f t="shared" si="87"/>
        <v>89.4725115742182</v>
      </c>
      <c r="AB79" s="428"/>
      <c r="AC79" s="428"/>
      <c r="AD79" s="429"/>
      <c r="AE79" s="429"/>
      <c r="AF79" s="428">
        <f t="shared" si="91"/>
        <v>440892.702902827</v>
      </c>
      <c r="AG79" s="440"/>
      <c r="AH79" s="439">
        <f t="shared" ref="AH79:AH81" si="92">U79*1.5</f>
        <v>12790.8</v>
      </c>
    </row>
    <row r="80" s="295" customFormat="1" customHeight="1" spans="1:34">
      <c r="A80" s="318"/>
      <c r="B80" s="319"/>
      <c r="C80" s="320">
        <v>0.0452479338842975</v>
      </c>
      <c r="D80" s="326" t="s">
        <v>3319</v>
      </c>
      <c r="E80" s="322" t="s">
        <v>3321</v>
      </c>
      <c r="F80" s="323">
        <v>2000</v>
      </c>
      <c r="G80" s="324">
        <v>0.00306514519617</v>
      </c>
      <c r="H80" s="325">
        <f t="shared" si="88"/>
        <v>652497.637795125</v>
      </c>
      <c r="I80" s="375">
        <v>32.3</v>
      </c>
      <c r="J80" s="376" t="s">
        <v>3248</v>
      </c>
      <c r="K80" s="377">
        <f t="shared" si="89"/>
        <v>14420495.7393991</v>
      </c>
      <c r="L80" s="339"/>
      <c r="M80" s="378">
        <f t="shared" si="80"/>
        <v>115.722373915388</v>
      </c>
      <c r="N80" s="379">
        <v>59</v>
      </c>
      <c r="O80" s="379">
        <v>61</v>
      </c>
      <c r="P80" s="379">
        <v>61</v>
      </c>
      <c r="Q80" s="379"/>
      <c r="R80" s="379"/>
      <c r="S80" s="379"/>
      <c r="T80" s="379"/>
      <c r="U80" s="398">
        <f t="shared" si="85"/>
        <v>5846.3</v>
      </c>
      <c r="V80" s="402">
        <f>Z80/SUM(Z79:Z81)</f>
        <v>0.331265940181032</v>
      </c>
      <c r="W80" s="403">
        <f t="shared" si="86"/>
        <v>181</v>
      </c>
      <c r="X80" s="404">
        <f t="shared" si="90"/>
        <v>59051.0362204588</v>
      </c>
      <c r="Y80" s="377">
        <f t="shared" si="38"/>
        <v>38914</v>
      </c>
      <c r="Z80" s="426">
        <f t="shared" si="82"/>
        <v>119.277060163759</v>
      </c>
      <c r="AA80" s="427">
        <f t="shared" si="87"/>
        <v>61.7229398362406</v>
      </c>
      <c r="AB80" s="428"/>
      <c r="AC80" s="428"/>
      <c r="AD80" s="429"/>
      <c r="AE80" s="429"/>
      <c r="AF80" s="428">
        <f t="shared" si="91"/>
        <v>445037.695465848</v>
      </c>
      <c r="AG80" s="440"/>
      <c r="AH80" s="439">
        <f t="shared" si="92"/>
        <v>8769.45</v>
      </c>
    </row>
    <row r="81" s="295" customFormat="1" customHeight="1" spans="1:34">
      <c r="A81" s="318"/>
      <c r="B81" s="319"/>
      <c r="C81" s="320">
        <v>0.0452479338842975</v>
      </c>
      <c r="D81" s="326" t="s">
        <v>3319</v>
      </c>
      <c r="E81" s="322" t="s">
        <v>3322</v>
      </c>
      <c r="F81" s="327">
        <v>2000</v>
      </c>
      <c r="G81" s="324">
        <v>0.00170272435897436</v>
      </c>
      <c r="H81" s="325">
        <f t="shared" si="88"/>
        <v>1174588.23529412</v>
      </c>
      <c r="I81" s="375">
        <v>32.3</v>
      </c>
      <c r="J81" s="376" t="s">
        <v>3248</v>
      </c>
      <c r="K81" s="377">
        <f t="shared" si="89"/>
        <v>25958936.3416599</v>
      </c>
      <c r="L81" s="339"/>
      <c r="M81" s="378">
        <f t="shared" si="80"/>
        <v>64.285145509675</v>
      </c>
      <c r="N81" s="379">
        <v>33</v>
      </c>
      <c r="O81" s="379">
        <v>34</v>
      </c>
      <c r="P81" s="379">
        <v>34</v>
      </c>
      <c r="Q81" s="379"/>
      <c r="R81" s="379"/>
      <c r="S81" s="379"/>
      <c r="T81" s="379"/>
      <c r="U81" s="398">
        <f t="shared" si="85"/>
        <v>3262.3</v>
      </c>
      <c r="V81" s="402">
        <f>Z81/SUM(Z79:Z81)</f>
        <v>0.184022142360366</v>
      </c>
      <c r="W81" s="403">
        <f t="shared" si="86"/>
        <v>101</v>
      </c>
      <c r="X81" s="404">
        <f t="shared" si="90"/>
        <v>59316.7058823529</v>
      </c>
      <c r="Y81" s="377">
        <f t="shared" si="38"/>
        <v>38914</v>
      </c>
      <c r="Z81" s="426">
        <f t="shared" si="82"/>
        <v>66.2598157051282</v>
      </c>
      <c r="AA81" s="427">
        <f t="shared" si="87"/>
        <v>34.7401842948718</v>
      </c>
      <c r="AB81" s="428"/>
      <c r="AC81" s="428"/>
      <c r="AD81" s="429"/>
      <c r="AE81" s="429"/>
      <c r="AF81" s="428">
        <f t="shared" si="91"/>
        <v>450909.116304055</v>
      </c>
      <c r="AG81" s="440"/>
      <c r="AH81" s="439">
        <f t="shared" si="92"/>
        <v>4893.45</v>
      </c>
    </row>
    <row r="82" s="295" customFormat="1" customHeight="1" spans="1:32">
      <c r="A82" s="328"/>
      <c r="B82" s="329"/>
      <c r="C82" s="330">
        <v>0.0452479338842975</v>
      </c>
      <c r="D82" s="331"/>
      <c r="E82" s="332" t="s">
        <v>3198</v>
      </c>
      <c r="F82" s="333"/>
      <c r="G82" s="334">
        <v>1</v>
      </c>
      <c r="H82" s="335"/>
      <c r="I82" s="380">
        <v>1.35754</v>
      </c>
      <c r="J82" s="381" t="s">
        <v>3248</v>
      </c>
      <c r="K82" s="382"/>
      <c r="L82" s="337"/>
      <c r="M82" s="383">
        <f t="shared" si="80"/>
        <v>37754.2878099173</v>
      </c>
      <c r="N82" s="384">
        <f t="shared" ref="N82:N87" si="93">ROUNDUP($AB$4*$C82,0)</f>
        <v>38914</v>
      </c>
      <c r="O82" s="384">
        <v>19909</v>
      </c>
      <c r="P82" s="384">
        <v>19909</v>
      </c>
      <c r="Q82" s="384"/>
      <c r="R82" s="384"/>
      <c r="S82" s="384"/>
      <c r="T82" s="384"/>
      <c r="U82" s="405">
        <f t="shared" si="85"/>
        <v>106881.83928</v>
      </c>
      <c r="V82" s="406"/>
      <c r="W82" s="407">
        <f t="shared" si="86"/>
        <v>78732</v>
      </c>
      <c r="X82" s="408"/>
      <c r="Y82" s="382">
        <f t="shared" si="38"/>
        <v>38914</v>
      </c>
      <c r="Z82" s="430">
        <f t="shared" si="82"/>
        <v>38914</v>
      </c>
      <c r="AA82" s="431">
        <f t="shared" si="87"/>
        <v>39818</v>
      </c>
      <c r="AB82" s="432"/>
      <c r="AC82" s="432"/>
      <c r="AD82" s="433"/>
      <c r="AE82" s="433"/>
      <c r="AF82" s="432"/>
    </row>
    <row r="83" s="295" customFormat="1" customHeight="1" spans="1:34">
      <c r="A83" s="310"/>
      <c r="B83" s="351" t="s">
        <v>3323</v>
      </c>
      <c r="C83" s="312">
        <v>0.00454545454545455</v>
      </c>
      <c r="D83" s="313" t="s">
        <v>3324</v>
      </c>
      <c r="E83" s="314" t="s">
        <v>3325</v>
      </c>
      <c r="F83" s="445">
        <v>1000</v>
      </c>
      <c r="G83" s="316">
        <v>0.00468285016602</v>
      </c>
      <c r="H83" s="317">
        <f t="shared" ref="H83:H86" si="94">F83/G83</f>
        <v>213545.162571347</v>
      </c>
      <c r="I83" s="369">
        <v>13.56</v>
      </c>
      <c r="J83" s="370" t="s">
        <v>3174</v>
      </c>
      <c r="K83" s="371">
        <f t="shared" ref="K83:K86" si="95">F83/C83/G83</f>
        <v>46979935.7656963</v>
      </c>
      <c r="L83" s="372"/>
      <c r="M83" s="373">
        <f t="shared" si="80"/>
        <v>17.7604968248861</v>
      </c>
      <c r="N83" s="374">
        <v>50</v>
      </c>
      <c r="O83" s="374"/>
      <c r="P83" s="374"/>
      <c r="Q83" s="374"/>
      <c r="R83" s="374"/>
      <c r="S83" s="374"/>
      <c r="T83" s="374"/>
      <c r="U83" s="411">
        <f t="shared" si="85"/>
        <v>678</v>
      </c>
      <c r="V83" s="399"/>
      <c r="W83" s="400">
        <f t="shared" si="86"/>
        <v>50</v>
      </c>
      <c r="X83" s="401">
        <f t="shared" ref="X83:X86" si="96">W83/G83</f>
        <v>10677.2581285673</v>
      </c>
      <c r="Y83" s="371">
        <f t="shared" si="38"/>
        <v>3910</v>
      </c>
      <c r="Z83" s="422">
        <f t="shared" si="82"/>
        <v>18.3099441491382</v>
      </c>
      <c r="AA83" s="423">
        <f t="shared" si="87"/>
        <v>31.6900558508618</v>
      </c>
      <c r="AB83" s="424"/>
      <c r="AC83" s="424"/>
      <c r="AD83" s="425"/>
      <c r="AE83" s="425"/>
      <c r="AF83" s="424">
        <f t="shared" ref="AF83:AF86" si="97">AA83/G83/C83</f>
        <v>1488796.78828482</v>
      </c>
      <c r="AG83" s="442"/>
      <c r="AH83" s="439">
        <f>1500</f>
        <v>1500</v>
      </c>
    </row>
    <row r="84" s="295" customFormat="1" customHeight="1" spans="1:34">
      <c r="A84" s="318"/>
      <c r="B84" s="336"/>
      <c r="C84" s="320">
        <v>0.00454545454545455</v>
      </c>
      <c r="D84" s="322" t="s">
        <v>3326</v>
      </c>
      <c r="E84" s="336" t="s">
        <v>3327</v>
      </c>
      <c r="F84" s="323">
        <v>3000</v>
      </c>
      <c r="G84" s="324">
        <v>0.00141059027777778</v>
      </c>
      <c r="H84" s="325">
        <f t="shared" si="94"/>
        <v>2126769.23076923</v>
      </c>
      <c r="I84" s="375">
        <v>3.42</v>
      </c>
      <c r="J84" s="376" t="s">
        <v>3174</v>
      </c>
      <c r="K84" s="377">
        <f t="shared" si="95"/>
        <v>467889230.76923</v>
      </c>
      <c r="L84" s="339"/>
      <c r="M84" s="378">
        <f t="shared" si="80"/>
        <v>5.34990086410986</v>
      </c>
      <c r="N84" s="379">
        <v>15</v>
      </c>
      <c r="O84" s="379"/>
      <c r="P84" s="379"/>
      <c r="Q84" s="379"/>
      <c r="R84" s="379"/>
      <c r="S84" s="379"/>
      <c r="T84" s="379"/>
      <c r="U84" s="411">
        <f t="shared" si="85"/>
        <v>51.3</v>
      </c>
      <c r="V84" s="402"/>
      <c r="W84" s="403">
        <f t="shared" si="86"/>
        <v>15</v>
      </c>
      <c r="X84" s="404">
        <f t="shared" si="96"/>
        <v>10633.8461538461</v>
      </c>
      <c r="Y84" s="377">
        <f t="shared" si="38"/>
        <v>3910</v>
      </c>
      <c r="Z84" s="426">
        <f t="shared" si="82"/>
        <v>5.51540798611112</v>
      </c>
      <c r="AA84" s="427">
        <f t="shared" si="87"/>
        <v>9.48459201388888</v>
      </c>
      <c r="AB84" s="428"/>
      <c r="AC84" s="428"/>
      <c r="AD84" s="429"/>
      <c r="AE84" s="429"/>
      <c r="AF84" s="428">
        <f t="shared" si="97"/>
        <v>1479246.15384615</v>
      </c>
      <c r="AG84" s="442"/>
      <c r="AH84" s="439">
        <f>1500</f>
        <v>1500</v>
      </c>
    </row>
    <row r="85" s="295" customFormat="1" customHeight="1" spans="1:32">
      <c r="A85" s="328"/>
      <c r="B85" s="343"/>
      <c r="C85" s="330">
        <v>0.00454545454545455</v>
      </c>
      <c r="D85" s="331"/>
      <c r="E85" s="343" t="s">
        <v>3198</v>
      </c>
      <c r="F85" s="333"/>
      <c r="G85" s="334">
        <v>1</v>
      </c>
      <c r="H85" s="335"/>
      <c r="I85" s="380">
        <v>0.725</v>
      </c>
      <c r="J85" s="381" t="s">
        <v>3174</v>
      </c>
      <c r="K85" s="382"/>
      <c r="L85" s="337"/>
      <c r="M85" s="383">
        <f t="shared" si="80"/>
        <v>3792.66818181819</v>
      </c>
      <c r="N85" s="384">
        <f t="shared" si="93"/>
        <v>3910</v>
      </c>
      <c r="O85" s="384">
        <v>2000</v>
      </c>
      <c r="P85" s="384">
        <v>2000</v>
      </c>
      <c r="Q85" s="384"/>
      <c r="R85" s="384"/>
      <c r="S85" s="384"/>
      <c r="T85" s="384"/>
      <c r="U85" s="405">
        <f t="shared" si="85"/>
        <v>5734.75</v>
      </c>
      <c r="V85" s="406"/>
      <c r="W85" s="407">
        <f t="shared" si="86"/>
        <v>7910</v>
      </c>
      <c r="X85" s="408"/>
      <c r="Y85" s="382">
        <f t="shared" si="38"/>
        <v>3910</v>
      </c>
      <c r="Z85" s="430">
        <f t="shared" si="82"/>
        <v>3910</v>
      </c>
      <c r="AA85" s="431">
        <f t="shared" si="87"/>
        <v>4000</v>
      </c>
      <c r="AB85" s="432"/>
      <c r="AC85" s="432"/>
      <c r="AD85" s="433"/>
      <c r="AE85" s="433"/>
      <c r="AF85" s="432"/>
    </row>
    <row r="86" s="295" customFormat="1" ht="40" customHeight="1" spans="1:32">
      <c r="A86" s="310"/>
      <c r="B86" s="311" t="s">
        <v>3328</v>
      </c>
      <c r="C86" s="312">
        <v>0.0452479338842975</v>
      </c>
      <c r="D86" s="313" t="s">
        <v>3329</v>
      </c>
      <c r="E86" s="314" t="s">
        <v>3330</v>
      </c>
      <c r="F86" s="445">
        <v>500</v>
      </c>
      <c r="G86" s="316">
        <v>0.0057775073377</v>
      </c>
      <c r="H86" s="317">
        <f t="shared" si="94"/>
        <v>86542.512328344</v>
      </c>
      <c r="I86" s="369">
        <f>27</f>
        <v>27</v>
      </c>
      <c r="J86" s="370" t="s">
        <v>3248</v>
      </c>
      <c r="K86" s="371">
        <f t="shared" si="95"/>
        <v>1912629.03958532</v>
      </c>
      <c r="L86" s="372"/>
      <c r="M86" s="373">
        <f t="shared" si="80"/>
        <v>218.125674851435</v>
      </c>
      <c r="N86" s="374">
        <v>500</v>
      </c>
      <c r="O86" s="374"/>
      <c r="P86" s="374">
        <v>0</v>
      </c>
      <c r="Q86" s="374"/>
      <c r="R86" s="374"/>
      <c r="S86" s="374"/>
      <c r="T86" s="374"/>
      <c r="U86" s="398">
        <f t="shared" si="85"/>
        <v>13500</v>
      </c>
      <c r="V86" s="399"/>
      <c r="W86" s="400">
        <f t="shared" si="86"/>
        <v>500</v>
      </c>
      <c r="X86" s="401">
        <f t="shared" si="96"/>
        <v>86542.512328344</v>
      </c>
      <c r="Y86" s="371">
        <f t="shared" si="38"/>
        <v>38914</v>
      </c>
      <c r="Z86" s="422">
        <f t="shared" si="82"/>
        <v>224.825920539258</v>
      </c>
      <c r="AA86" s="423">
        <f t="shared" si="87"/>
        <v>275.174079460742</v>
      </c>
      <c r="AB86" s="424"/>
      <c r="AC86" s="424"/>
      <c r="AD86" s="425"/>
      <c r="AE86" s="425"/>
      <c r="AF86" s="424">
        <f t="shared" si="97"/>
        <v>1052611.87063555</v>
      </c>
    </row>
    <row r="87" s="295" customFormat="1" ht="40" customHeight="1" spans="1:32">
      <c r="A87" s="328"/>
      <c r="B87" s="343"/>
      <c r="C87" s="330">
        <v>0.0452479338842975</v>
      </c>
      <c r="D87" s="331"/>
      <c r="E87" s="343" t="s">
        <v>3198</v>
      </c>
      <c r="F87" s="333"/>
      <c r="G87" s="334">
        <v>1</v>
      </c>
      <c r="H87" s="335"/>
      <c r="I87" s="380">
        <v>0.315798</v>
      </c>
      <c r="J87" s="381" t="s">
        <v>3248</v>
      </c>
      <c r="K87" s="382"/>
      <c r="L87" s="337"/>
      <c r="M87" s="383">
        <f t="shared" si="80"/>
        <v>37754.2878099173</v>
      </c>
      <c r="N87" s="384">
        <f t="shared" si="93"/>
        <v>38914</v>
      </c>
      <c r="O87" s="384">
        <v>19909</v>
      </c>
      <c r="P87" s="384">
        <v>19909</v>
      </c>
      <c r="Q87" s="384"/>
      <c r="R87" s="384"/>
      <c r="S87" s="384"/>
      <c r="T87" s="384"/>
      <c r="U87" s="405">
        <f t="shared" si="85"/>
        <v>24863.408136</v>
      </c>
      <c r="V87" s="406"/>
      <c r="W87" s="407">
        <f t="shared" si="86"/>
        <v>78732</v>
      </c>
      <c r="X87" s="408"/>
      <c r="Y87" s="382">
        <f t="shared" si="38"/>
        <v>38914</v>
      </c>
      <c r="Z87" s="430">
        <f t="shared" si="82"/>
        <v>38914</v>
      </c>
      <c r="AA87" s="431">
        <f t="shared" si="87"/>
        <v>39818</v>
      </c>
      <c r="AB87" s="432"/>
      <c r="AC87" s="432"/>
      <c r="AD87" s="433"/>
      <c r="AE87" s="433"/>
      <c r="AF87" s="432"/>
    </row>
    <row r="88" s="295" customFormat="1" customHeight="1" spans="1:34">
      <c r="A88" s="310"/>
      <c r="B88" s="446" t="s">
        <v>3331</v>
      </c>
      <c r="C88" s="312">
        <v>0.0452479338842975</v>
      </c>
      <c r="D88" s="313" t="s">
        <v>3332</v>
      </c>
      <c r="E88" s="314" t="s">
        <v>3333</v>
      </c>
      <c r="F88" s="445">
        <v>2000</v>
      </c>
      <c r="G88" s="316">
        <v>0.00424737551096</v>
      </c>
      <c r="H88" s="317">
        <f t="shared" ref="H88:H91" si="98">F88/G88</f>
        <v>470879.015721395</v>
      </c>
      <c r="I88" s="369">
        <f>25.3</f>
        <v>25.3</v>
      </c>
      <c r="J88" s="370" t="s">
        <v>3248</v>
      </c>
      <c r="K88" s="371">
        <f t="shared" ref="K88:K91" si="99">F88/C88/G88</f>
        <v>10406641.260692</v>
      </c>
      <c r="L88" s="372"/>
      <c r="M88" s="373">
        <f t="shared" si="80"/>
        <v>160.356637477579</v>
      </c>
      <c r="N88" s="374">
        <v>81</v>
      </c>
      <c r="O88" s="374">
        <v>85</v>
      </c>
      <c r="P88" s="374">
        <v>84</v>
      </c>
      <c r="Q88" s="374"/>
      <c r="R88" s="374"/>
      <c r="S88" s="374"/>
      <c r="T88" s="374"/>
      <c r="U88" s="398">
        <f t="shared" si="85"/>
        <v>6325</v>
      </c>
      <c r="V88" s="399"/>
      <c r="W88" s="400">
        <f t="shared" si="86"/>
        <v>250</v>
      </c>
      <c r="X88" s="401">
        <f t="shared" ref="X88:X91" si="100">W88/G88</f>
        <v>58859.8769651743</v>
      </c>
      <c r="Y88" s="371">
        <f t="shared" si="38"/>
        <v>38914</v>
      </c>
      <c r="Z88" s="422">
        <f t="shared" si="82"/>
        <v>165.282370633497</v>
      </c>
      <c r="AA88" s="423">
        <f t="shared" si="87"/>
        <v>84.7176293665025</v>
      </c>
      <c r="AB88" s="424"/>
      <c r="AC88" s="424"/>
      <c r="AD88" s="425"/>
      <c r="AE88" s="425"/>
      <c r="AF88" s="424">
        <f t="shared" ref="AF88:AF91" si="101">AA88/G88/C88</f>
        <v>440812.988636729</v>
      </c>
      <c r="AG88" s="440"/>
      <c r="AH88" s="439">
        <f>U88*1.5</f>
        <v>9487.5</v>
      </c>
    </row>
    <row r="89" s="295" customFormat="1" customHeight="1" spans="1:34">
      <c r="A89" s="318"/>
      <c r="B89" s="447"/>
      <c r="C89" s="320">
        <v>0.0452479338842975</v>
      </c>
      <c r="D89" s="322" t="s">
        <v>3334</v>
      </c>
      <c r="E89" s="336" t="s">
        <v>3327</v>
      </c>
      <c r="F89" s="323">
        <v>3000</v>
      </c>
      <c r="G89" s="324">
        <v>0.00141059027777778</v>
      </c>
      <c r="H89" s="325">
        <f t="shared" si="98"/>
        <v>2126769.23076923</v>
      </c>
      <c r="I89" s="375">
        <v>25.94</v>
      </c>
      <c r="J89" s="376" t="s">
        <v>3248</v>
      </c>
      <c r="K89" s="377">
        <f t="shared" si="99"/>
        <v>47002571.1275026</v>
      </c>
      <c r="L89" s="339"/>
      <c r="M89" s="378">
        <f t="shared" si="80"/>
        <v>53.2558313290936</v>
      </c>
      <c r="N89" s="379">
        <v>125</v>
      </c>
      <c r="O89" s="379"/>
      <c r="P89" s="379"/>
      <c r="Q89" s="379"/>
      <c r="R89" s="379"/>
      <c r="S89" s="379"/>
      <c r="T89" s="379"/>
      <c r="U89" s="411">
        <f t="shared" si="85"/>
        <v>3242.5</v>
      </c>
      <c r="V89" s="402"/>
      <c r="W89" s="403">
        <f t="shared" si="86"/>
        <v>125</v>
      </c>
      <c r="X89" s="404">
        <f t="shared" si="100"/>
        <v>88615.3846153845</v>
      </c>
      <c r="Y89" s="377">
        <f t="shared" si="38"/>
        <v>38914</v>
      </c>
      <c r="Z89" s="426">
        <f t="shared" si="82"/>
        <v>54.8917100694445</v>
      </c>
      <c r="AA89" s="427">
        <f t="shared" si="87"/>
        <v>70.1082899305555</v>
      </c>
      <c r="AB89" s="428"/>
      <c r="AC89" s="428"/>
      <c r="AD89" s="429"/>
      <c r="AE89" s="429"/>
      <c r="AF89" s="428">
        <f t="shared" si="101"/>
        <v>1098423.29469617</v>
      </c>
      <c r="AG89" s="442"/>
      <c r="AH89" s="439">
        <f>1500</f>
        <v>1500</v>
      </c>
    </row>
    <row r="90" s="295" customFormat="1" customHeight="1" spans="1:32">
      <c r="A90" s="328"/>
      <c r="B90" s="448"/>
      <c r="C90" s="330">
        <v>0.0452479338842975</v>
      </c>
      <c r="D90" s="331"/>
      <c r="E90" s="343" t="s">
        <v>3198</v>
      </c>
      <c r="F90" s="333"/>
      <c r="G90" s="334">
        <v>1</v>
      </c>
      <c r="H90" s="335"/>
      <c r="I90" s="380">
        <v>0.312708</v>
      </c>
      <c r="J90" s="381" t="s">
        <v>3248</v>
      </c>
      <c r="K90" s="382"/>
      <c r="L90" s="337"/>
      <c r="M90" s="383">
        <f t="shared" si="80"/>
        <v>37754.2878099173</v>
      </c>
      <c r="N90" s="384">
        <f t="shared" ref="N90:N94" si="102">ROUNDUP($AB$4*$C90,0)</f>
        <v>38914</v>
      </c>
      <c r="O90" s="384">
        <v>19909</v>
      </c>
      <c r="P90" s="384">
        <v>19909</v>
      </c>
      <c r="Q90" s="384"/>
      <c r="R90" s="384"/>
      <c r="S90" s="384"/>
      <c r="T90" s="384"/>
      <c r="U90" s="405">
        <f t="shared" si="85"/>
        <v>24620.126256</v>
      </c>
      <c r="V90" s="406"/>
      <c r="W90" s="407">
        <f t="shared" si="86"/>
        <v>78732</v>
      </c>
      <c r="X90" s="408"/>
      <c r="Y90" s="382">
        <f t="shared" si="38"/>
        <v>38914</v>
      </c>
      <c r="Z90" s="430">
        <f t="shared" si="82"/>
        <v>38914</v>
      </c>
      <c r="AA90" s="431">
        <f t="shared" si="87"/>
        <v>39818</v>
      </c>
      <c r="AB90" s="432"/>
      <c r="AC90" s="432"/>
      <c r="AD90" s="433"/>
      <c r="AE90" s="433"/>
      <c r="AF90" s="432"/>
    </row>
    <row r="91" s="295" customFormat="1" ht="40" customHeight="1" spans="1:32">
      <c r="A91" s="449"/>
      <c r="B91" s="311" t="s">
        <v>3335</v>
      </c>
      <c r="C91" s="312">
        <v>0.0452479338842975</v>
      </c>
      <c r="D91" s="313" t="s">
        <v>3336</v>
      </c>
      <c r="E91" s="314" t="s">
        <v>3337</v>
      </c>
      <c r="F91" s="445">
        <v>500</v>
      </c>
      <c r="G91" s="316">
        <v>0.02039930555556</v>
      </c>
      <c r="H91" s="317">
        <f t="shared" si="98"/>
        <v>24510.638297867</v>
      </c>
      <c r="I91" s="369">
        <v>17.7</v>
      </c>
      <c r="J91" s="370" t="s">
        <v>3248</v>
      </c>
      <c r="K91" s="371">
        <f t="shared" si="99"/>
        <v>541696.298455143</v>
      </c>
      <c r="L91" s="372"/>
      <c r="M91" s="373">
        <f t="shared" si="80"/>
        <v>770.161253067058</v>
      </c>
      <c r="N91" s="374">
        <v>500</v>
      </c>
      <c r="O91" s="374">
        <v>500</v>
      </c>
      <c r="P91" s="374">
        <v>500</v>
      </c>
      <c r="Q91" s="374"/>
      <c r="R91" s="374"/>
      <c r="S91" s="374"/>
      <c r="T91" s="374"/>
      <c r="U91" s="398">
        <f t="shared" si="85"/>
        <v>26550</v>
      </c>
      <c r="V91" s="399"/>
      <c r="W91" s="400">
        <f t="shared" si="86"/>
        <v>1500</v>
      </c>
      <c r="X91" s="401">
        <f t="shared" si="100"/>
        <v>73531.914893601</v>
      </c>
      <c r="Y91" s="371">
        <f t="shared" si="38"/>
        <v>38914</v>
      </c>
      <c r="Z91" s="422">
        <f t="shared" si="82"/>
        <v>793.818576389062</v>
      </c>
      <c r="AA91" s="423">
        <f t="shared" si="87"/>
        <v>706.181423610938</v>
      </c>
      <c r="AB91" s="424"/>
      <c r="AC91" s="424"/>
      <c r="AD91" s="425"/>
      <c r="AE91" s="425"/>
      <c r="AF91" s="424">
        <f t="shared" si="101"/>
        <v>765071.726415657</v>
      </c>
    </row>
    <row r="92" s="295" customFormat="1" ht="40" customHeight="1" spans="1:32">
      <c r="A92" s="328"/>
      <c r="B92" s="343"/>
      <c r="C92" s="330">
        <v>0.0452479338842975</v>
      </c>
      <c r="D92" s="331"/>
      <c r="E92" s="343" t="s">
        <v>3198</v>
      </c>
      <c r="F92" s="333"/>
      <c r="G92" s="334">
        <v>1</v>
      </c>
      <c r="H92" s="335"/>
      <c r="I92" s="380">
        <v>0.22145</v>
      </c>
      <c r="J92" s="381" t="s">
        <v>3248</v>
      </c>
      <c r="K92" s="382"/>
      <c r="L92" s="337"/>
      <c r="M92" s="383">
        <f t="shared" si="80"/>
        <v>37754.2878099173</v>
      </c>
      <c r="N92" s="384">
        <f t="shared" si="102"/>
        <v>38914</v>
      </c>
      <c r="O92" s="384">
        <v>19909</v>
      </c>
      <c r="P92" s="384">
        <v>19909</v>
      </c>
      <c r="Q92" s="384"/>
      <c r="R92" s="384"/>
      <c r="S92" s="384"/>
      <c r="T92" s="384"/>
      <c r="U92" s="405">
        <f t="shared" si="85"/>
        <v>17435.2014</v>
      </c>
      <c r="V92" s="406"/>
      <c r="W92" s="407">
        <f t="shared" si="86"/>
        <v>78732</v>
      </c>
      <c r="X92" s="408"/>
      <c r="Y92" s="382">
        <f t="shared" si="38"/>
        <v>38914</v>
      </c>
      <c r="Z92" s="430">
        <f t="shared" si="82"/>
        <v>38914</v>
      </c>
      <c r="AA92" s="431">
        <f t="shared" si="87"/>
        <v>39818</v>
      </c>
      <c r="AB92" s="432"/>
      <c r="AC92" s="432"/>
      <c r="AD92" s="433"/>
      <c r="AE92" s="433"/>
      <c r="AF92" s="432"/>
    </row>
    <row r="93" s="295" customFormat="1" ht="40" customHeight="1" spans="1:32">
      <c r="A93" s="310"/>
      <c r="B93" s="311" t="s">
        <v>3338</v>
      </c>
      <c r="C93" s="312">
        <v>0.0452479338842975</v>
      </c>
      <c r="D93" s="313" t="s">
        <v>3339</v>
      </c>
      <c r="E93" s="314" t="s">
        <v>3340</v>
      </c>
      <c r="F93" s="445">
        <v>500</v>
      </c>
      <c r="G93" s="316">
        <v>0.01878720238095</v>
      </c>
      <c r="H93" s="317">
        <f t="shared" ref="H93:H97" si="103">F93/G93</f>
        <v>26613.861386142</v>
      </c>
      <c r="I93" s="369">
        <v>17.7</v>
      </c>
      <c r="J93" s="370" t="s">
        <v>3248</v>
      </c>
      <c r="K93" s="371">
        <f t="shared" ref="K93:K97" si="104">F93/C93/G93</f>
        <v>588178.48908186</v>
      </c>
      <c r="L93" s="372"/>
      <c r="M93" s="373">
        <f t="shared" si="80"/>
        <v>709.297445833551</v>
      </c>
      <c r="N93" s="374">
        <v>500</v>
      </c>
      <c r="O93" s="374">
        <v>500</v>
      </c>
      <c r="P93" s="374">
        <v>500</v>
      </c>
      <c r="Q93" s="374"/>
      <c r="R93" s="374"/>
      <c r="S93" s="374"/>
      <c r="T93" s="374"/>
      <c r="U93" s="398">
        <f t="shared" si="85"/>
        <v>26550</v>
      </c>
      <c r="V93" s="399"/>
      <c r="W93" s="400">
        <f t="shared" si="86"/>
        <v>1500</v>
      </c>
      <c r="X93" s="401">
        <f t="shared" ref="X93:X97" si="105">W93/G93</f>
        <v>79841.584158426</v>
      </c>
      <c r="Y93" s="371">
        <f t="shared" si="38"/>
        <v>38914</v>
      </c>
      <c r="Z93" s="422">
        <f t="shared" si="82"/>
        <v>731.085193452288</v>
      </c>
      <c r="AA93" s="423">
        <f t="shared" si="87"/>
        <v>768.914806547712</v>
      </c>
      <c r="AB93" s="424"/>
      <c r="AC93" s="424"/>
      <c r="AD93" s="425"/>
      <c r="AE93" s="425"/>
      <c r="AF93" s="424">
        <f t="shared" ref="AF93:AF97" si="106">AA93/G93/C93</f>
        <v>904518.298295807</v>
      </c>
    </row>
    <row r="94" s="295" customFormat="1" ht="40" customHeight="1" spans="1:32">
      <c r="A94" s="328"/>
      <c r="B94" s="343"/>
      <c r="C94" s="330">
        <v>0.0452479338842975</v>
      </c>
      <c r="D94" s="331"/>
      <c r="E94" s="343" t="s">
        <v>3198</v>
      </c>
      <c r="F94" s="333"/>
      <c r="G94" s="334">
        <v>1</v>
      </c>
      <c r="H94" s="335"/>
      <c r="I94" s="380">
        <v>0.23072</v>
      </c>
      <c r="J94" s="381" t="s">
        <v>3248</v>
      </c>
      <c r="K94" s="382"/>
      <c r="L94" s="337"/>
      <c r="M94" s="383">
        <f t="shared" si="80"/>
        <v>37754.2878099173</v>
      </c>
      <c r="N94" s="384">
        <f t="shared" si="102"/>
        <v>38914</v>
      </c>
      <c r="O94" s="384">
        <v>19909</v>
      </c>
      <c r="P94" s="384">
        <v>19909</v>
      </c>
      <c r="Q94" s="384"/>
      <c r="R94" s="384"/>
      <c r="S94" s="384"/>
      <c r="T94" s="384"/>
      <c r="U94" s="405">
        <f t="shared" si="85"/>
        <v>18165.04704</v>
      </c>
      <c r="V94" s="406"/>
      <c r="W94" s="407">
        <f t="shared" si="86"/>
        <v>78732</v>
      </c>
      <c r="X94" s="408"/>
      <c r="Y94" s="382">
        <f t="shared" ref="Y94:Y115" si="107">ROUNDUP($AB$4*C94,0)+AC94+AD94+AE94</f>
        <v>38914</v>
      </c>
      <c r="Z94" s="430">
        <f t="shared" si="82"/>
        <v>38914</v>
      </c>
      <c r="AA94" s="431">
        <f t="shared" si="87"/>
        <v>39818</v>
      </c>
      <c r="AB94" s="432"/>
      <c r="AC94" s="432"/>
      <c r="AD94" s="433"/>
      <c r="AE94" s="433"/>
      <c r="AF94" s="432"/>
    </row>
    <row r="95" s="295" customFormat="1" customHeight="1" spans="1:34">
      <c r="A95" s="449"/>
      <c r="B95" s="311" t="s">
        <v>3341</v>
      </c>
      <c r="C95" s="312">
        <v>0.0452479338842975</v>
      </c>
      <c r="D95" s="314" t="s">
        <v>3342</v>
      </c>
      <c r="E95" s="314" t="s">
        <v>3343</v>
      </c>
      <c r="F95" s="445">
        <v>1600</v>
      </c>
      <c r="G95" s="316">
        <v>0.0021043771043771</v>
      </c>
      <c r="H95" s="317">
        <f t="shared" si="103"/>
        <v>760320.000000002</v>
      </c>
      <c r="I95" s="369">
        <f>11.6</f>
        <v>11.6</v>
      </c>
      <c r="J95" s="370" t="s">
        <v>3248</v>
      </c>
      <c r="K95" s="371">
        <f t="shared" si="104"/>
        <v>16803419.1780822</v>
      </c>
      <c r="L95" s="372"/>
      <c r="M95" s="373">
        <f t="shared" si="80"/>
        <v>79.4492588592535</v>
      </c>
      <c r="N95" s="374">
        <v>77</v>
      </c>
      <c r="O95" s="374">
        <v>66</v>
      </c>
      <c r="P95" s="374">
        <v>72</v>
      </c>
      <c r="Q95" s="374"/>
      <c r="R95" s="374"/>
      <c r="S95" s="374"/>
      <c r="T95" s="374"/>
      <c r="U95" s="398">
        <f t="shared" si="85"/>
        <v>2494</v>
      </c>
      <c r="V95" s="399"/>
      <c r="W95" s="400">
        <f t="shared" si="86"/>
        <v>215</v>
      </c>
      <c r="X95" s="401">
        <f t="shared" si="105"/>
        <v>102168</v>
      </c>
      <c r="Y95" s="371">
        <f t="shared" si="107"/>
        <v>67914</v>
      </c>
      <c r="Z95" s="422">
        <f t="shared" si="82"/>
        <v>142.916666666666</v>
      </c>
      <c r="AA95" s="423">
        <f t="shared" si="87"/>
        <v>72.0833333333336</v>
      </c>
      <c r="AB95" s="424"/>
      <c r="AC95" s="424">
        <f t="shared" ref="AC95:AC98" si="108">$AC$3</f>
        <v>28000</v>
      </c>
      <c r="AD95" s="425"/>
      <c r="AE95" s="425">
        <v>1000</v>
      </c>
      <c r="AF95" s="424">
        <f t="shared" si="106"/>
        <v>757029.041095895</v>
      </c>
      <c r="AG95" s="440"/>
      <c r="AH95" s="439">
        <f>U95*1.5</f>
        <v>3741</v>
      </c>
    </row>
    <row r="96" s="295" customFormat="1" customHeight="1" spans="1:34">
      <c r="A96" s="318"/>
      <c r="B96" s="336"/>
      <c r="C96" s="320">
        <v>0.0452479338842975</v>
      </c>
      <c r="D96" s="322" t="s">
        <v>3344</v>
      </c>
      <c r="E96" s="336" t="s">
        <v>3345</v>
      </c>
      <c r="F96" s="323">
        <v>500</v>
      </c>
      <c r="G96" s="324">
        <v>0.000736531986531987</v>
      </c>
      <c r="H96" s="325">
        <f t="shared" si="103"/>
        <v>678857.142857142</v>
      </c>
      <c r="I96" s="375">
        <v>12.1</v>
      </c>
      <c r="J96" s="376" t="s">
        <v>3248</v>
      </c>
      <c r="K96" s="377">
        <f t="shared" si="104"/>
        <v>15003052.8375734</v>
      </c>
      <c r="L96" s="339"/>
      <c r="M96" s="378">
        <f t="shared" si="80"/>
        <v>27.8072406007388</v>
      </c>
      <c r="N96" s="379">
        <v>80</v>
      </c>
      <c r="O96" s="379"/>
      <c r="P96" s="379"/>
      <c r="Q96" s="379"/>
      <c r="R96" s="379"/>
      <c r="S96" s="379"/>
      <c r="T96" s="379"/>
      <c r="U96" s="411">
        <f t="shared" si="85"/>
        <v>968</v>
      </c>
      <c r="V96" s="402"/>
      <c r="W96" s="403">
        <f t="shared" si="86"/>
        <v>80</v>
      </c>
      <c r="X96" s="404">
        <f t="shared" si="105"/>
        <v>108617.142857143</v>
      </c>
      <c r="Y96" s="377">
        <f t="shared" si="107"/>
        <v>67914</v>
      </c>
      <c r="Z96" s="426">
        <f t="shared" si="82"/>
        <v>50.0208333333334</v>
      </c>
      <c r="AA96" s="427">
        <f t="shared" si="87"/>
        <v>29.9791666666666</v>
      </c>
      <c r="AB96" s="428"/>
      <c r="AC96" s="428">
        <f t="shared" si="108"/>
        <v>28000</v>
      </c>
      <c r="AD96" s="429"/>
      <c r="AE96" s="429">
        <v>1000</v>
      </c>
      <c r="AF96" s="428">
        <f t="shared" si="106"/>
        <v>899558.043052836</v>
      </c>
      <c r="AG96" s="442"/>
      <c r="AH96" s="439">
        <f>1500</f>
        <v>1500</v>
      </c>
    </row>
    <row r="97" s="295" customFormat="1" customHeight="1" spans="1:34">
      <c r="A97" s="318"/>
      <c r="B97" s="336"/>
      <c r="C97" s="320">
        <v>0.0452479338842975</v>
      </c>
      <c r="D97" s="322" t="s">
        <v>3346</v>
      </c>
      <c r="E97" s="336" t="s">
        <v>3327</v>
      </c>
      <c r="F97" s="323">
        <v>3000</v>
      </c>
      <c r="G97" s="324">
        <v>0.00141059027777778</v>
      </c>
      <c r="H97" s="325">
        <f t="shared" si="103"/>
        <v>2126769.23076923</v>
      </c>
      <c r="I97" s="375">
        <v>14.3</v>
      </c>
      <c r="J97" s="376" t="s">
        <v>3248</v>
      </c>
      <c r="K97" s="377">
        <f t="shared" si="104"/>
        <v>47002571.1275026</v>
      </c>
      <c r="L97" s="339"/>
      <c r="M97" s="378">
        <f t="shared" si="80"/>
        <v>53.2558313290936</v>
      </c>
      <c r="N97" s="379">
        <v>153</v>
      </c>
      <c r="O97" s="379"/>
      <c r="P97" s="379"/>
      <c r="Q97" s="379"/>
      <c r="R97" s="379"/>
      <c r="S97" s="379"/>
      <c r="T97" s="379"/>
      <c r="U97" s="411">
        <f t="shared" si="85"/>
        <v>2187.9</v>
      </c>
      <c r="V97" s="402"/>
      <c r="W97" s="403">
        <f t="shared" si="86"/>
        <v>153</v>
      </c>
      <c r="X97" s="404">
        <f t="shared" si="105"/>
        <v>108465.230769231</v>
      </c>
      <c r="Y97" s="377">
        <f t="shared" si="107"/>
        <v>67914</v>
      </c>
      <c r="Z97" s="426">
        <f t="shared" si="82"/>
        <v>95.7988281250001</v>
      </c>
      <c r="AA97" s="427">
        <f t="shared" si="87"/>
        <v>57.2011718749999</v>
      </c>
      <c r="AB97" s="428"/>
      <c r="AC97" s="428">
        <f t="shared" si="108"/>
        <v>28000</v>
      </c>
      <c r="AD97" s="429"/>
      <c r="AE97" s="429">
        <v>1000</v>
      </c>
      <c r="AF97" s="428">
        <f t="shared" si="106"/>
        <v>896200.716543727</v>
      </c>
      <c r="AG97" s="442"/>
      <c r="AH97" s="439">
        <f>1500</f>
        <v>1500</v>
      </c>
    </row>
    <row r="98" s="295" customFormat="1" customHeight="1" spans="1:32">
      <c r="A98" s="328"/>
      <c r="B98" s="343"/>
      <c r="C98" s="330">
        <v>0.0452479338842975</v>
      </c>
      <c r="D98" s="331"/>
      <c r="E98" s="343" t="s">
        <v>3198</v>
      </c>
      <c r="F98" s="333"/>
      <c r="G98" s="334">
        <v>1</v>
      </c>
      <c r="H98" s="335"/>
      <c r="I98" s="380">
        <v>0.21218</v>
      </c>
      <c r="J98" s="381" t="s">
        <v>3248</v>
      </c>
      <c r="K98" s="382"/>
      <c r="L98" s="337"/>
      <c r="M98" s="383">
        <f t="shared" si="80"/>
        <v>37754.2878099173</v>
      </c>
      <c r="N98" s="384">
        <f>ROUNDUP($AB$4*$C98,0)+17000</f>
        <v>55914</v>
      </c>
      <c r="O98" s="384">
        <v>31909</v>
      </c>
      <c r="P98" s="384">
        <v>33909</v>
      </c>
      <c r="Q98" s="384"/>
      <c r="R98" s="384"/>
      <c r="S98" s="384"/>
      <c r="T98" s="384"/>
      <c r="U98" s="405">
        <f t="shared" si="85"/>
        <v>25829.09576</v>
      </c>
      <c r="V98" s="406"/>
      <c r="W98" s="407">
        <f t="shared" si="86"/>
        <v>121732</v>
      </c>
      <c r="X98" s="408"/>
      <c r="Y98" s="382">
        <f t="shared" si="107"/>
        <v>67914</v>
      </c>
      <c r="Z98" s="430">
        <f t="shared" si="82"/>
        <v>67914</v>
      </c>
      <c r="AA98" s="431">
        <f t="shared" si="87"/>
        <v>53818</v>
      </c>
      <c r="AB98" s="432"/>
      <c r="AC98" s="432">
        <f t="shared" si="108"/>
        <v>28000</v>
      </c>
      <c r="AD98" s="433"/>
      <c r="AE98" s="433">
        <v>1000</v>
      </c>
      <c r="AF98" s="432"/>
    </row>
    <row r="99" s="295" customFormat="1" customHeight="1" spans="1:32">
      <c r="A99" s="310"/>
      <c r="B99" s="446" t="s">
        <v>3347</v>
      </c>
      <c r="C99" s="312">
        <v>0.0452479338842975</v>
      </c>
      <c r="D99" s="313" t="s">
        <v>3246</v>
      </c>
      <c r="E99" s="314" t="s">
        <v>3348</v>
      </c>
      <c r="F99" s="445">
        <v>500</v>
      </c>
      <c r="G99" s="316">
        <v>0.0409901614967</v>
      </c>
      <c r="H99" s="317">
        <f t="shared" ref="H99:H102" si="109">F99/G99</f>
        <v>12198.0490377003</v>
      </c>
      <c r="I99" s="369">
        <v>17.3</v>
      </c>
      <c r="J99" s="370" t="s">
        <v>3248</v>
      </c>
      <c r="K99" s="371">
        <f t="shared" ref="K99:K102" si="110">F99/C99/G99</f>
        <v>269582.453618581</v>
      </c>
      <c r="L99" s="385" t="s">
        <v>3349</v>
      </c>
      <c r="M99" s="373">
        <f t="shared" si="80"/>
        <v>1547.5543545214</v>
      </c>
      <c r="N99" s="374">
        <v>780</v>
      </c>
      <c r="O99" s="374">
        <v>816</v>
      </c>
      <c r="P99" s="374">
        <v>816</v>
      </c>
      <c r="Q99" s="374"/>
      <c r="R99" s="374"/>
      <c r="S99" s="374"/>
      <c r="T99" s="374"/>
      <c r="U99" s="398">
        <f t="shared" si="85"/>
        <v>41727.6</v>
      </c>
      <c r="V99" s="399"/>
      <c r="W99" s="400">
        <f t="shared" si="86"/>
        <v>2412</v>
      </c>
      <c r="X99" s="401">
        <f t="shared" ref="X99:X102" si="111">W99/G99</f>
        <v>58843.3885578661</v>
      </c>
      <c r="Y99" s="371">
        <f t="shared" si="107"/>
        <v>38914</v>
      </c>
      <c r="Z99" s="422">
        <f t="shared" si="82"/>
        <v>1595.09114448258</v>
      </c>
      <c r="AA99" s="423">
        <f t="shared" si="87"/>
        <v>816.908855517416</v>
      </c>
      <c r="AB99" s="424"/>
      <c r="AC99" s="424"/>
      <c r="AD99" s="425"/>
      <c r="AE99" s="425"/>
      <c r="AF99" s="424">
        <f t="shared" ref="AF99:AF102" si="112">AA99/G99/C99</f>
        <v>440448.587306264</v>
      </c>
    </row>
    <row r="100" s="295" customFormat="1" customHeight="1" spans="1:32">
      <c r="A100" s="318"/>
      <c r="B100" s="447"/>
      <c r="C100" s="320">
        <v>0.0452479338842975</v>
      </c>
      <c r="D100" s="322" t="s">
        <v>3350</v>
      </c>
      <c r="E100" s="336" t="s">
        <v>3197</v>
      </c>
      <c r="F100" s="323"/>
      <c r="G100" s="324">
        <v>0.0138888888888889</v>
      </c>
      <c r="H100" s="325">
        <f t="shared" si="109"/>
        <v>0</v>
      </c>
      <c r="I100" s="375">
        <v>2.5</v>
      </c>
      <c r="J100" s="376" t="s">
        <v>3248</v>
      </c>
      <c r="K100" s="377">
        <f t="shared" si="110"/>
        <v>0</v>
      </c>
      <c r="L100" s="450"/>
      <c r="M100" s="378">
        <f t="shared" si="80"/>
        <v>524.365108471075</v>
      </c>
      <c r="N100" s="379">
        <v>264</v>
      </c>
      <c r="O100" s="379">
        <v>277</v>
      </c>
      <c r="P100" s="379">
        <v>276</v>
      </c>
      <c r="Q100" s="379"/>
      <c r="R100" s="379"/>
      <c r="S100" s="379"/>
      <c r="T100" s="379"/>
      <c r="U100" s="398">
        <f t="shared" si="85"/>
        <v>2042.5</v>
      </c>
      <c r="V100" s="402"/>
      <c r="W100" s="403">
        <f t="shared" si="86"/>
        <v>817</v>
      </c>
      <c r="X100" s="404">
        <f t="shared" si="111"/>
        <v>58823.9999999999</v>
      </c>
      <c r="Y100" s="377">
        <f t="shared" si="107"/>
        <v>38914</v>
      </c>
      <c r="Z100" s="426">
        <f t="shared" si="82"/>
        <v>540.472222222223</v>
      </c>
      <c r="AA100" s="427">
        <f t="shared" si="87"/>
        <v>276.527777777777</v>
      </c>
      <c r="AB100" s="428"/>
      <c r="AC100" s="428"/>
      <c r="AD100" s="429"/>
      <c r="AE100" s="429"/>
      <c r="AF100" s="428">
        <f t="shared" si="112"/>
        <v>440020.0913242</v>
      </c>
    </row>
    <row r="101" s="295" customFormat="1" customHeight="1" spans="1:32">
      <c r="A101" s="328"/>
      <c r="B101" s="448"/>
      <c r="C101" s="330">
        <v>0.0452479338842975</v>
      </c>
      <c r="D101" s="331"/>
      <c r="E101" s="343" t="s">
        <v>3198</v>
      </c>
      <c r="F101" s="333"/>
      <c r="G101" s="334">
        <v>1</v>
      </c>
      <c r="H101" s="335"/>
      <c r="I101" s="380">
        <v>1.29574</v>
      </c>
      <c r="J101" s="381" t="s">
        <v>3248</v>
      </c>
      <c r="K101" s="382"/>
      <c r="L101" s="337"/>
      <c r="M101" s="383">
        <f t="shared" si="80"/>
        <v>37754.2878099173</v>
      </c>
      <c r="N101" s="384">
        <f t="shared" ref="N101:N104" si="113">ROUNDUP($AB$4*$C101,0)</f>
        <v>38914</v>
      </c>
      <c r="O101" s="384">
        <v>19909</v>
      </c>
      <c r="P101" s="384">
        <v>19909</v>
      </c>
      <c r="Q101" s="384"/>
      <c r="R101" s="384"/>
      <c r="S101" s="384"/>
      <c r="T101" s="384"/>
      <c r="U101" s="405">
        <f t="shared" si="85"/>
        <v>102016.20168</v>
      </c>
      <c r="V101" s="406"/>
      <c r="W101" s="407">
        <f t="shared" si="86"/>
        <v>78732</v>
      </c>
      <c r="X101" s="408"/>
      <c r="Y101" s="382">
        <f t="shared" si="107"/>
        <v>38914</v>
      </c>
      <c r="Z101" s="430">
        <f t="shared" si="82"/>
        <v>38914</v>
      </c>
      <c r="AA101" s="431">
        <f t="shared" si="87"/>
        <v>39818</v>
      </c>
      <c r="AB101" s="432"/>
      <c r="AC101" s="432"/>
      <c r="AD101" s="433"/>
      <c r="AE101" s="433"/>
      <c r="AF101" s="432"/>
    </row>
    <row r="102" s="295" customFormat="1" ht="40" customHeight="1" spans="1:32">
      <c r="A102" s="449"/>
      <c r="B102" s="311" t="s">
        <v>3351</v>
      </c>
      <c r="C102" s="312">
        <v>0.0452479338842975</v>
      </c>
      <c r="D102" s="313" t="s">
        <v>3352</v>
      </c>
      <c r="E102" s="314" t="s">
        <v>3353</v>
      </c>
      <c r="F102" s="445">
        <v>500</v>
      </c>
      <c r="G102" s="316">
        <v>0.01302127656316</v>
      </c>
      <c r="H102" s="317">
        <f t="shared" si="109"/>
        <v>38398.6929065471</v>
      </c>
      <c r="I102" s="369">
        <v>19</v>
      </c>
      <c r="J102" s="370" t="s">
        <v>3248</v>
      </c>
      <c r="K102" s="371">
        <f t="shared" si="110"/>
        <v>848628.646884421</v>
      </c>
      <c r="L102" s="372"/>
      <c r="M102" s="373">
        <f t="shared" si="80"/>
        <v>491.609023018074</v>
      </c>
      <c r="N102" s="374">
        <v>500</v>
      </c>
      <c r="O102" s="374">
        <v>500</v>
      </c>
      <c r="P102" s="374"/>
      <c r="Q102" s="374"/>
      <c r="R102" s="374"/>
      <c r="S102" s="374"/>
      <c r="T102" s="374"/>
      <c r="U102" s="398">
        <f t="shared" si="85"/>
        <v>19000</v>
      </c>
      <c r="V102" s="399"/>
      <c r="W102" s="400">
        <f t="shared" si="86"/>
        <v>1000</v>
      </c>
      <c r="X102" s="401">
        <f t="shared" si="111"/>
        <v>76797.3858130942</v>
      </c>
      <c r="Y102" s="371">
        <f t="shared" si="107"/>
        <v>38914</v>
      </c>
      <c r="Z102" s="422">
        <f t="shared" si="82"/>
        <v>506.709956178808</v>
      </c>
      <c r="AA102" s="423">
        <f t="shared" si="87"/>
        <v>493.290043821192</v>
      </c>
      <c r="AB102" s="424"/>
      <c r="AC102" s="424"/>
      <c r="AD102" s="425"/>
      <c r="AE102" s="425"/>
      <c r="AF102" s="424">
        <f t="shared" si="112"/>
        <v>837240.124819069</v>
      </c>
    </row>
    <row r="103" s="295" customFormat="1" ht="40" customHeight="1" spans="1:32">
      <c r="A103" s="328"/>
      <c r="B103" s="343"/>
      <c r="C103" s="330">
        <v>0.0452479338842975</v>
      </c>
      <c r="D103" s="331"/>
      <c r="E103" s="343" t="s">
        <v>3198</v>
      </c>
      <c r="F103" s="333"/>
      <c r="G103" s="334">
        <v>1</v>
      </c>
      <c r="H103" s="335"/>
      <c r="I103" s="380">
        <v>0.87590376</v>
      </c>
      <c r="J103" s="381" t="s">
        <v>3248</v>
      </c>
      <c r="K103" s="382"/>
      <c r="L103" s="337"/>
      <c r="M103" s="383">
        <f t="shared" si="80"/>
        <v>37754.2878099173</v>
      </c>
      <c r="N103" s="384">
        <f t="shared" si="113"/>
        <v>38914</v>
      </c>
      <c r="O103" s="384">
        <v>19909</v>
      </c>
      <c r="P103" s="384">
        <v>19909</v>
      </c>
      <c r="Q103" s="384"/>
      <c r="R103" s="384"/>
      <c r="S103" s="384"/>
      <c r="T103" s="384"/>
      <c r="U103" s="405">
        <f t="shared" si="85"/>
        <v>68961.65483232</v>
      </c>
      <c r="V103" s="406"/>
      <c r="W103" s="407">
        <f t="shared" si="86"/>
        <v>78732</v>
      </c>
      <c r="X103" s="408"/>
      <c r="Y103" s="382">
        <f t="shared" si="107"/>
        <v>38914</v>
      </c>
      <c r="Z103" s="430">
        <f t="shared" si="82"/>
        <v>38914</v>
      </c>
      <c r="AA103" s="431">
        <f t="shared" si="87"/>
        <v>39818</v>
      </c>
      <c r="AB103" s="432"/>
      <c r="AC103" s="432"/>
      <c r="AD103" s="433"/>
      <c r="AE103" s="433"/>
      <c r="AF103" s="432"/>
    </row>
    <row r="104" s="295" customFormat="1" ht="80" customHeight="1" spans="1:32">
      <c r="A104" s="344"/>
      <c r="B104" s="345" t="s">
        <v>3354</v>
      </c>
      <c r="C104" s="346">
        <v>0.0452479338842975</v>
      </c>
      <c r="D104" s="331"/>
      <c r="E104" s="345" t="s">
        <v>3198</v>
      </c>
      <c r="F104" s="445"/>
      <c r="G104" s="334">
        <v>1</v>
      </c>
      <c r="H104" s="317">
        <f t="shared" ref="H104:H107" si="114">F104/G104</f>
        <v>0</v>
      </c>
      <c r="I104" s="386">
        <v>0.134621</v>
      </c>
      <c r="J104" s="387" t="s">
        <v>3248</v>
      </c>
      <c r="K104" s="388"/>
      <c r="L104" s="451"/>
      <c r="M104" s="389">
        <f t="shared" si="80"/>
        <v>37754.2878099173</v>
      </c>
      <c r="N104" s="384">
        <f t="shared" si="113"/>
        <v>38914</v>
      </c>
      <c r="O104" s="390">
        <v>19909</v>
      </c>
      <c r="P104" s="390">
        <v>19909</v>
      </c>
      <c r="Q104" s="390"/>
      <c r="R104" s="384"/>
      <c r="S104" s="384"/>
      <c r="T104" s="384"/>
      <c r="U104" s="405">
        <f t="shared" si="85"/>
        <v>10598.980572</v>
      </c>
      <c r="V104" s="413"/>
      <c r="W104" s="464">
        <f t="shared" si="86"/>
        <v>78732</v>
      </c>
      <c r="X104" s="414"/>
      <c r="Y104" s="377">
        <f t="shared" si="107"/>
        <v>38914</v>
      </c>
      <c r="Z104" s="434">
        <f t="shared" si="82"/>
        <v>38914</v>
      </c>
      <c r="AA104" s="435">
        <f t="shared" si="87"/>
        <v>39818</v>
      </c>
      <c r="AB104" s="436"/>
      <c r="AC104" s="436"/>
      <c r="AD104" s="437"/>
      <c r="AE104" s="437"/>
      <c r="AF104" s="436"/>
    </row>
    <row r="105" s="295" customFormat="1" customHeight="1" spans="1:32">
      <c r="A105" s="449"/>
      <c r="B105" s="311" t="s">
        <v>3355</v>
      </c>
      <c r="C105" s="312">
        <v>0.0452479338842975</v>
      </c>
      <c r="D105" s="314" t="s">
        <v>3356</v>
      </c>
      <c r="E105" s="314" t="s">
        <v>3194</v>
      </c>
      <c r="F105" s="445">
        <v>500</v>
      </c>
      <c r="G105" s="316">
        <v>0.01175411522634</v>
      </c>
      <c r="H105" s="317">
        <f t="shared" si="114"/>
        <v>42538.293216621</v>
      </c>
      <c r="I105" s="369">
        <v>28</v>
      </c>
      <c r="J105" s="370" t="s">
        <v>3248</v>
      </c>
      <c r="K105" s="371">
        <f t="shared" ref="K105:K107" si="115">F105/C105/G105</f>
        <v>940115.703965505</v>
      </c>
      <c r="L105" s="372"/>
      <c r="M105" s="373">
        <f t="shared" si="80"/>
        <v>443.768249206172</v>
      </c>
      <c r="N105" s="374">
        <v>500</v>
      </c>
      <c r="O105" s="374"/>
      <c r="P105" s="374">
        <v>500</v>
      </c>
      <c r="Q105" s="374"/>
      <c r="R105" s="374"/>
      <c r="S105" s="374"/>
      <c r="T105" s="374"/>
      <c r="U105" s="398">
        <f t="shared" si="85"/>
        <v>28000</v>
      </c>
      <c r="V105" s="399"/>
      <c r="W105" s="400">
        <f t="shared" si="86"/>
        <v>1000</v>
      </c>
      <c r="X105" s="401">
        <f t="shared" ref="X105:X107" si="116">W105/G105</f>
        <v>85076.5864332419</v>
      </c>
      <c r="Y105" s="371">
        <f t="shared" si="107"/>
        <v>38914</v>
      </c>
      <c r="Z105" s="422">
        <f t="shared" si="82"/>
        <v>457.399639917795</v>
      </c>
      <c r="AA105" s="423">
        <f t="shared" si="87"/>
        <v>542.600360082205</v>
      </c>
      <c r="AB105" s="424"/>
      <c r="AC105" s="424"/>
      <c r="AD105" s="425"/>
      <c r="AE105" s="425"/>
      <c r="AF105" s="424">
        <f t="shared" ref="AF105:AF109" si="117">AA105/G105/C105</f>
        <v>1020214.23898124</v>
      </c>
    </row>
    <row r="106" s="295" customFormat="1" customHeight="1" spans="1:34">
      <c r="A106" s="318"/>
      <c r="B106" s="336"/>
      <c r="C106" s="320">
        <v>0.0452479338842975</v>
      </c>
      <c r="D106" s="322" t="s">
        <v>3357</v>
      </c>
      <c r="E106" s="336" t="s">
        <v>3197</v>
      </c>
      <c r="F106" s="323">
        <v>1800</v>
      </c>
      <c r="G106" s="324">
        <v>0.00277777777777778</v>
      </c>
      <c r="H106" s="325">
        <f t="shared" si="114"/>
        <v>647999.999999999</v>
      </c>
      <c r="I106" s="375">
        <v>13</v>
      </c>
      <c r="J106" s="376" t="s">
        <v>3248</v>
      </c>
      <c r="K106" s="377">
        <f t="shared" si="115"/>
        <v>14321095.890411</v>
      </c>
      <c r="L106" s="339"/>
      <c r="M106" s="378">
        <f t="shared" si="80"/>
        <v>104.873021694215</v>
      </c>
      <c r="N106" s="379">
        <v>250</v>
      </c>
      <c r="O106" s="379"/>
      <c r="P106" s="379"/>
      <c r="Q106" s="379"/>
      <c r="R106" s="379"/>
      <c r="S106" s="379"/>
      <c r="T106" s="379"/>
      <c r="U106" s="411">
        <f t="shared" si="85"/>
        <v>3250</v>
      </c>
      <c r="V106" s="402"/>
      <c r="W106" s="403">
        <f t="shared" si="86"/>
        <v>250</v>
      </c>
      <c r="X106" s="404">
        <f t="shared" si="116"/>
        <v>89999.9999999999</v>
      </c>
      <c r="Y106" s="377">
        <f t="shared" si="107"/>
        <v>38914</v>
      </c>
      <c r="Z106" s="426">
        <f t="shared" si="82"/>
        <v>108.094444444445</v>
      </c>
      <c r="AA106" s="427">
        <f t="shared" si="87"/>
        <v>141.905555555555</v>
      </c>
      <c r="AB106" s="428"/>
      <c r="AC106" s="428"/>
      <c r="AD106" s="429"/>
      <c r="AE106" s="429"/>
      <c r="AF106" s="428">
        <f t="shared" si="117"/>
        <v>1129023.92694064</v>
      </c>
      <c r="AG106" s="442"/>
      <c r="AH106" s="439">
        <f>1500</f>
        <v>1500</v>
      </c>
    </row>
    <row r="107" s="295" customFormat="1" customHeight="1" spans="1:32">
      <c r="A107" s="318"/>
      <c r="B107" s="336"/>
      <c r="C107" s="320">
        <v>0.0452479338842975</v>
      </c>
      <c r="D107" s="322" t="s">
        <v>3358</v>
      </c>
      <c r="E107" s="336" t="s">
        <v>3359</v>
      </c>
      <c r="F107" s="323"/>
      <c r="G107" s="324">
        <v>0.00205761316872428</v>
      </c>
      <c r="H107" s="325">
        <f t="shared" si="114"/>
        <v>0</v>
      </c>
      <c r="I107" s="375">
        <v>5</v>
      </c>
      <c r="J107" s="376" t="s">
        <v>3248</v>
      </c>
      <c r="K107" s="377">
        <f t="shared" si="115"/>
        <v>0</v>
      </c>
      <c r="L107" s="339"/>
      <c r="M107" s="378">
        <f t="shared" si="80"/>
        <v>77.6837197734925</v>
      </c>
      <c r="N107" s="379">
        <v>40</v>
      </c>
      <c r="O107" s="379">
        <v>41</v>
      </c>
      <c r="P107" s="379">
        <v>41</v>
      </c>
      <c r="Q107" s="379"/>
      <c r="R107" s="379"/>
      <c r="S107" s="379"/>
      <c r="T107" s="379"/>
      <c r="U107" s="411">
        <f t="shared" si="85"/>
        <v>610</v>
      </c>
      <c r="V107" s="402"/>
      <c r="W107" s="403">
        <f t="shared" si="86"/>
        <v>122</v>
      </c>
      <c r="X107" s="404">
        <f t="shared" si="116"/>
        <v>59292</v>
      </c>
      <c r="Y107" s="377">
        <f t="shared" si="107"/>
        <v>38914</v>
      </c>
      <c r="Z107" s="426">
        <f t="shared" si="82"/>
        <v>80.0699588477366</v>
      </c>
      <c r="AA107" s="427">
        <f t="shared" si="87"/>
        <v>41.9300411522634</v>
      </c>
      <c r="AB107" s="428"/>
      <c r="AC107" s="428"/>
      <c r="AD107" s="429"/>
      <c r="AE107" s="429"/>
      <c r="AF107" s="428"/>
    </row>
    <row r="108" s="295" customFormat="1" customHeight="1" spans="1:32">
      <c r="A108" s="328"/>
      <c r="B108" s="343"/>
      <c r="C108" s="330">
        <v>0.0452479338842975</v>
      </c>
      <c r="D108" s="331"/>
      <c r="E108" s="343" t="s">
        <v>3198</v>
      </c>
      <c r="F108" s="333"/>
      <c r="G108" s="334">
        <v>1</v>
      </c>
      <c r="H108" s="335"/>
      <c r="I108" s="380">
        <v>0.5864305</v>
      </c>
      <c r="J108" s="381" t="s">
        <v>3248</v>
      </c>
      <c r="K108" s="382"/>
      <c r="L108" s="337"/>
      <c r="M108" s="383">
        <f t="shared" si="80"/>
        <v>37754.2878099173</v>
      </c>
      <c r="N108" s="384">
        <f>ROUNDUP($AB$4*$C108,0)</f>
        <v>38914</v>
      </c>
      <c r="O108" s="384">
        <v>19909</v>
      </c>
      <c r="P108" s="384">
        <v>19909</v>
      </c>
      <c r="Q108" s="384"/>
      <c r="R108" s="384"/>
      <c r="S108" s="384"/>
      <c r="T108" s="384"/>
      <c r="U108" s="405">
        <f t="shared" si="85"/>
        <v>46170.846126</v>
      </c>
      <c r="V108" s="406"/>
      <c r="W108" s="407">
        <f t="shared" si="86"/>
        <v>78732</v>
      </c>
      <c r="X108" s="408"/>
      <c r="Y108" s="382">
        <f t="shared" si="107"/>
        <v>38914</v>
      </c>
      <c r="Z108" s="430">
        <f t="shared" si="82"/>
        <v>38914</v>
      </c>
      <c r="AA108" s="431">
        <f t="shared" si="87"/>
        <v>39818</v>
      </c>
      <c r="AB108" s="432"/>
      <c r="AC108" s="432"/>
      <c r="AD108" s="433"/>
      <c r="AE108" s="433"/>
      <c r="AF108" s="432"/>
    </row>
    <row r="109" s="295" customFormat="1" ht="40" customHeight="1" spans="1:32">
      <c r="A109" s="310"/>
      <c r="B109" s="311" t="s">
        <v>3360</v>
      </c>
      <c r="C109" s="312">
        <v>0.0452479338842975</v>
      </c>
      <c r="D109" s="313" t="s">
        <v>3361</v>
      </c>
      <c r="E109" s="314" t="s">
        <v>3362</v>
      </c>
      <c r="F109" s="445"/>
      <c r="G109" s="316">
        <v>0.0165</v>
      </c>
      <c r="H109" s="317">
        <f t="shared" ref="H109:H114" si="118">F109/G109</f>
        <v>0</v>
      </c>
      <c r="I109" s="369">
        <v>12.9</v>
      </c>
      <c r="J109" s="370" t="s">
        <v>3248</v>
      </c>
      <c r="K109" s="371">
        <f t="shared" ref="K109:K114" si="119">F109/C109/G109</f>
        <v>0</v>
      </c>
      <c r="L109" s="372"/>
      <c r="M109" s="373">
        <f t="shared" si="80"/>
        <v>622.945748863636</v>
      </c>
      <c r="N109" s="374">
        <v>331</v>
      </c>
      <c r="O109" s="374">
        <v>328</v>
      </c>
      <c r="P109" s="374">
        <v>329</v>
      </c>
      <c r="Q109" s="374"/>
      <c r="R109" s="374"/>
      <c r="S109" s="374"/>
      <c r="T109" s="374"/>
      <c r="U109" s="398">
        <f t="shared" si="85"/>
        <v>12745.2</v>
      </c>
      <c r="V109" s="399"/>
      <c r="W109" s="400">
        <f t="shared" si="86"/>
        <v>988</v>
      </c>
      <c r="X109" s="401">
        <f t="shared" ref="X109:X114" si="120">W109/G109</f>
        <v>59878.7878787879</v>
      </c>
      <c r="Y109" s="371">
        <f t="shared" si="107"/>
        <v>39914</v>
      </c>
      <c r="Z109" s="422">
        <f t="shared" si="82"/>
        <v>658.581</v>
      </c>
      <c r="AA109" s="423">
        <f t="shared" si="87"/>
        <v>329.419</v>
      </c>
      <c r="AB109" s="424"/>
      <c r="AC109" s="424"/>
      <c r="AD109" s="425"/>
      <c r="AE109" s="425">
        <v>1000</v>
      </c>
      <c r="AF109" s="424">
        <f t="shared" si="117"/>
        <v>441230.928462709</v>
      </c>
    </row>
    <row r="110" s="295" customFormat="1" ht="40" customHeight="1" spans="1:32">
      <c r="A110" s="328"/>
      <c r="B110" s="343"/>
      <c r="C110" s="330">
        <v>0.0452479338842975</v>
      </c>
      <c r="D110" s="331"/>
      <c r="E110" s="343" t="s">
        <v>3198</v>
      </c>
      <c r="F110" s="333"/>
      <c r="G110" s="334">
        <v>1</v>
      </c>
      <c r="H110" s="335"/>
      <c r="I110" s="380">
        <v>0.00955670103092784</v>
      </c>
      <c r="J110" s="381" t="s">
        <v>3248</v>
      </c>
      <c r="K110" s="382"/>
      <c r="L110" s="337"/>
      <c r="M110" s="383">
        <f t="shared" si="80"/>
        <v>37754.2878099173</v>
      </c>
      <c r="N110" s="384">
        <f>ROUNDUP($AB$4*$C110,0)+1000</f>
        <v>39914</v>
      </c>
      <c r="O110" s="384">
        <v>19909</v>
      </c>
      <c r="P110" s="384">
        <v>19909</v>
      </c>
      <c r="Q110" s="384"/>
      <c r="R110" s="384"/>
      <c r="S110" s="384"/>
      <c r="T110" s="384"/>
      <c r="U110" s="405">
        <f t="shared" si="85"/>
        <v>761.974886597939</v>
      </c>
      <c r="V110" s="406"/>
      <c r="W110" s="407">
        <f t="shared" si="86"/>
        <v>79732</v>
      </c>
      <c r="X110" s="408"/>
      <c r="Y110" s="382">
        <f t="shared" si="107"/>
        <v>39914</v>
      </c>
      <c r="Z110" s="430">
        <f t="shared" si="82"/>
        <v>39914</v>
      </c>
      <c r="AA110" s="431">
        <f t="shared" si="87"/>
        <v>39818</v>
      </c>
      <c r="AB110" s="432"/>
      <c r="AC110" s="432"/>
      <c r="AD110" s="433"/>
      <c r="AE110" s="433">
        <v>1000</v>
      </c>
      <c r="AF110" s="432"/>
    </row>
    <row r="111" s="295" customFormat="1" ht="40" customHeight="1" spans="1:32">
      <c r="A111" s="310"/>
      <c r="B111" s="311" t="s">
        <v>3363</v>
      </c>
      <c r="C111" s="312">
        <v>0.0452479338842975</v>
      </c>
      <c r="D111" s="313" t="s">
        <v>3361</v>
      </c>
      <c r="E111" s="314" t="s">
        <v>3362</v>
      </c>
      <c r="F111" s="445"/>
      <c r="G111" s="316">
        <v>0.0165</v>
      </c>
      <c r="H111" s="317">
        <f t="shared" si="118"/>
        <v>0</v>
      </c>
      <c r="I111" s="369">
        <v>12.9</v>
      </c>
      <c r="J111" s="370" t="s">
        <v>3248</v>
      </c>
      <c r="K111" s="371">
        <f t="shared" si="119"/>
        <v>0</v>
      </c>
      <c r="L111" s="372"/>
      <c r="M111" s="373">
        <f t="shared" si="80"/>
        <v>622.945748863636</v>
      </c>
      <c r="N111" s="374">
        <v>314</v>
      </c>
      <c r="O111" s="374">
        <v>329</v>
      </c>
      <c r="P111" s="374">
        <v>328</v>
      </c>
      <c r="Q111" s="374"/>
      <c r="R111" s="374"/>
      <c r="S111" s="374"/>
      <c r="T111" s="374"/>
      <c r="U111" s="398">
        <f t="shared" si="85"/>
        <v>12525.9</v>
      </c>
      <c r="V111" s="399"/>
      <c r="W111" s="400">
        <f t="shared" si="86"/>
        <v>971</v>
      </c>
      <c r="X111" s="401">
        <f t="shared" si="120"/>
        <v>58848.4848484848</v>
      </c>
      <c r="Y111" s="371">
        <f t="shared" si="107"/>
        <v>38914</v>
      </c>
      <c r="Z111" s="422">
        <f t="shared" si="82"/>
        <v>642.081</v>
      </c>
      <c r="AA111" s="423">
        <f t="shared" si="87"/>
        <v>328.919</v>
      </c>
      <c r="AB111" s="424"/>
      <c r="AC111" s="424"/>
      <c r="AD111" s="425"/>
      <c r="AE111" s="425"/>
      <c r="AF111" s="424">
        <f t="shared" ref="AF111:AF114" si="121">AA111/G111/C111</f>
        <v>440561.217656012</v>
      </c>
    </row>
    <row r="112" s="295" customFormat="1" ht="40" customHeight="1" spans="1:32">
      <c r="A112" s="328"/>
      <c r="B112" s="343"/>
      <c r="C112" s="330">
        <v>0.0452479338842975</v>
      </c>
      <c r="D112" s="331"/>
      <c r="E112" s="343" t="s">
        <v>3198</v>
      </c>
      <c r="F112" s="333"/>
      <c r="G112" s="334">
        <v>1</v>
      </c>
      <c r="H112" s="335"/>
      <c r="I112" s="380">
        <v>0.00955670103092784</v>
      </c>
      <c r="J112" s="381" t="s">
        <v>3248</v>
      </c>
      <c r="K112" s="382"/>
      <c r="L112" s="337"/>
      <c r="M112" s="383">
        <f t="shared" si="80"/>
        <v>37754.2878099173</v>
      </c>
      <c r="N112" s="384">
        <f>ROUNDUP($AB$4*$C112,0)</f>
        <v>38914</v>
      </c>
      <c r="O112" s="384">
        <v>19909</v>
      </c>
      <c r="P112" s="384">
        <v>19909</v>
      </c>
      <c r="Q112" s="384"/>
      <c r="R112" s="384"/>
      <c r="S112" s="384"/>
      <c r="T112" s="384"/>
      <c r="U112" s="405">
        <f t="shared" si="85"/>
        <v>752.418185567011</v>
      </c>
      <c r="V112" s="406"/>
      <c r="W112" s="407">
        <f t="shared" si="86"/>
        <v>78732</v>
      </c>
      <c r="X112" s="408"/>
      <c r="Y112" s="382">
        <f t="shared" si="107"/>
        <v>38914</v>
      </c>
      <c r="Z112" s="430">
        <f t="shared" si="82"/>
        <v>38914</v>
      </c>
      <c r="AA112" s="431">
        <f t="shared" si="87"/>
        <v>39818</v>
      </c>
      <c r="AB112" s="432"/>
      <c r="AC112" s="432"/>
      <c r="AD112" s="433"/>
      <c r="AE112" s="433"/>
      <c r="AF112" s="432"/>
    </row>
    <row r="113" s="295" customFormat="1" customHeight="1" spans="1:33">
      <c r="A113" s="310"/>
      <c r="B113" s="311" t="s">
        <v>3364</v>
      </c>
      <c r="C113" s="312">
        <v>0.0452479338842975</v>
      </c>
      <c r="D113" s="314" t="s">
        <v>3365</v>
      </c>
      <c r="E113" s="311" t="s">
        <v>3366</v>
      </c>
      <c r="F113" s="315">
        <v>1800</v>
      </c>
      <c r="G113" s="316">
        <v>0.0071</v>
      </c>
      <c r="H113" s="317">
        <f t="shared" si="118"/>
        <v>253521.126760563</v>
      </c>
      <c r="I113" s="369">
        <v>26</v>
      </c>
      <c r="J113" s="370" t="s">
        <v>3248</v>
      </c>
      <c r="K113" s="371">
        <f t="shared" si="119"/>
        <v>5602932.66448003</v>
      </c>
      <c r="L113" s="372"/>
      <c r="M113" s="373">
        <f t="shared" si="80"/>
        <v>268.055443450413</v>
      </c>
      <c r="N113" s="374">
        <v>650</v>
      </c>
      <c r="O113" s="374"/>
      <c r="P113" s="374"/>
      <c r="Q113" s="374"/>
      <c r="R113" s="374"/>
      <c r="S113" s="374"/>
      <c r="T113" s="374"/>
      <c r="U113" s="411">
        <f t="shared" si="85"/>
        <v>16900</v>
      </c>
      <c r="V113" s="399"/>
      <c r="W113" s="400">
        <f t="shared" si="86"/>
        <v>650</v>
      </c>
      <c r="X113" s="401">
        <f t="shared" si="120"/>
        <v>91549.2957746479</v>
      </c>
      <c r="Y113" s="371">
        <f t="shared" si="107"/>
        <v>39914</v>
      </c>
      <c r="Z113" s="422">
        <f t="shared" si="82"/>
        <v>283.3894</v>
      </c>
      <c r="AA113" s="423">
        <f t="shared" si="87"/>
        <v>366.6106</v>
      </c>
      <c r="AB113" s="424">
        <f>$AB$4*C113</f>
        <v>38913.2231404959</v>
      </c>
      <c r="AC113" s="424"/>
      <c r="AD113" s="425"/>
      <c r="AE113" s="425">
        <v>1000</v>
      </c>
      <c r="AF113" s="424">
        <f t="shared" si="121"/>
        <v>1141163.61438035</v>
      </c>
      <c r="AG113" s="441"/>
    </row>
    <row r="114" s="295" customFormat="1" customHeight="1" spans="1:33">
      <c r="A114" s="318"/>
      <c r="B114" s="336"/>
      <c r="C114" s="320">
        <v>0.0452479338842975</v>
      </c>
      <c r="D114" s="326" t="s">
        <v>3365</v>
      </c>
      <c r="E114" s="336" t="s">
        <v>3367</v>
      </c>
      <c r="F114" s="323">
        <v>1800</v>
      </c>
      <c r="G114" s="324">
        <v>0.0071</v>
      </c>
      <c r="H114" s="325">
        <f t="shared" si="118"/>
        <v>253521.126760563</v>
      </c>
      <c r="I114" s="375">
        <v>26</v>
      </c>
      <c r="J114" s="376" t="s">
        <v>3248</v>
      </c>
      <c r="K114" s="377">
        <f t="shared" si="119"/>
        <v>5602932.66448003</v>
      </c>
      <c r="L114" s="339"/>
      <c r="M114" s="378">
        <f t="shared" si="80"/>
        <v>268.055443450413</v>
      </c>
      <c r="N114" s="379">
        <v>650</v>
      </c>
      <c r="O114" s="379"/>
      <c r="P114" s="379"/>
      <c r="Q114" s="379"/>
      <c r="R114" s="379"/>
      <c r="S114" s="379"/>
      <c r="T114" s="379"/>
      <c r="U114" s="411">
        <f t="shared" si="85"/>
        <v>16900</v>
      </c>
      <c r="V114" s="402"/>
      <c r="W114" s="403">
        <f t="shared" si="86"/>
        <v>650</v>
      </c>
      <c r="X114" s="404">
        <f t="shared" si="120"/>
        <v>91549.2957746479</v>
      </c>
      <c r="Y114" s="377">
        <f t="shared" si="107"/>
        <v>39914</v>
      </c>
      <c r="Z114" s="426">
        <f t="shared" si="82"/>
        <v>283.3894</v>
      </c>
      <c r="AA114" s="427">
        <f t="shared" si="87"/>
        <v>366.6106</v>
      </c>
      <c r="AB114" s="428"/>
      <c r="AC114" s="428"/>
      <c r="AD114" s="429"/>
      <c r="AE114" s="429">
        <v>1000</v>
      </c>
      <c r="AF114" s="428">
        <f t="shared" si="121"/>
        <v>1141163.61438035</v>
      </c>
      <c r="AG114" s="441"/>
    </row>
    <row r="115" s="295" customFormat="1" customHeight="1" spans="1:32">
      <c r="A115" s="328"/>
      <c r="B115" s="343"/>
      <c r="C115" s="330">
        <v>0.0452479338842975</v>
      </c>
      <c r="D115" s="331"/>
      <c r="E115" s="343" t="s">
        <v>3198</v>
      </c>
      <c r="F115" s="333"/>
      <c r="G115" s="334">
        <v>1</v>
      </c>
      <c r="H115" s="353"/>
      <c r="I115" s="380">
        <v>0.2822715</v>
      </c>
      <c r="J115" s="381" t="s">
        <v>3248</v>
      </c>
      <c r="K115" s="382"/>
      <c r="L115" s="337"/>
      <c r="M115" s="383">
        <f t="shared" si="80"/>
        <v>37754.2878099173</v>
      </c>
      <c r="N115" s="384">
        <f>ROUNDUP($AB$4*$C115,0)+1000</f>
        <v>39914</v>
      </c>
      <c r="O115" s="384">
        <v>19909</v>
      </c>
      <c r="P115" s="384">
        <v>19909</v>
      </c>
      <c r="Q115" s="384"/>
      <c r="R115" s="384"/>
      <c r="S115" s="384"/>
      <c r="T115" s="384"/>
      <c r="U115" s="405">
        <f t="shared" si="85"/>
        <v>22506.071238</v>
      </c>
      <c r="V115" s="406"/>
      <c r="W115" s="407">
        <f t="shared" si="86"/>
        <v>79732</v>
      </c>
      <c r="X115" s="408"/>
      <c r="Y115" s="382">
        <f t="shared" si="107"/>
        <v>39914</v>
      </c>
      <c r="Z115" s="430">
        <f t="shared" si="82"/>
        <v>39914</v>
      </c>
      <c r="AA115" s="431">
        <f t="shared" si="87"/>
        <v>39818</v>
      </c>
      <c r="AB115" s="432"/>
      <c r="AC115" s="432"/>
      <c r="AD115" s="433"/>
      <c r="AE115" s="433">
        <v>1000</v>
      </c>
      <c r="AF115" s="432"/>
    </row>
    <row r="116" s="295" customFormat="1" customHeight="1" spans="6:32">
      <c r="F116" s="297"/>
      <c r="G116" s="297"/>
      <c r="H116" s="297"/>
      <c r="I116" s="297"/>
      <c r="J116" s="297"/>
      <c r="K116" s="297"/>
      <c r="L116" s="297"/>
      <c r="M116" s="452" t="s">
        <v>3212</v>
      </c>
      <c r="N116" s="453">
        <f>SUM(N5:N115)</f>
        <v>1375839.03976454</v>
      </c>
      <c r="O116" s="453">
        <f>SUM(O5:O112)</f>
        <v>655928</v>
      </c>
      <c r="P116" s="453">
        <v>704366</v>
      </c>
      <c r="Q116" s="453">
        <f>SUM(Q5:Q112)</f>
        <v>0</v>
      </c>
      <c r="R116" s="453">
        <f>SUM(R5:R112)</f>
        <v>0</v>
      </c>
      <c r="S116" s="453">
        <f>SUM(S5:S112)</f>
        <v>0</v>
      </c>
      <c r="T116" s="453"/>
      <c r="U116" s="465">
        <f>SUM(U5:U115)</f>
        <v>2366080.69115803</v>
      </c>
      <c r="V116" s="466"/>
      <c r="W116" s="467">
        <f>SUM(W5:W115)</f>
        <v>2775951.03976454</v>
      </c>
      <c r="X116" s="467"/>
      <c r="Y116" s="467"/>
      <c r="Z116" s="467"/>
      <c r="AA116" s="475">
        <f t="shared" ref="AA116:AE116" si="122">SUM(AA5:AA115)</f>
        <v>1467813.46695457</v>
      </c>
      <c r="AB116" s="476">
        <f t="shared" si="122"/>
        <v>1015652.89256198</v>
      </c>
      <c r="AC116" s="476">
        <f t="shared" si="122"/>
        <v>448000</v>
      </c>
      <c r="AD116" s="476">
        <f t="shared" si="122"/>
        <v>0</v>
      </c>
      <c r="AE116" s="476">
        <f t="shared" si="122"/>
        <v>14000</v>
      </c>
      <c r="AF116" s="476">
        <f>MIN(AF5:AF115)</f>
        <v>440020.0913242</v>
      </c>
    </row>
    <row r="117" s="295" customFormat="1" customHeight="1" spans="6:32">
      <c r="F117" s="297"/>
      <c r="G117" s="297"/>
      <c r="H117" s="297"/>
      <c r="I117" s="297"/>
      <c r="J117" s="297"/>
      <c r="K117" s="297"/>
      <c r="L117" s="297"/>
      <c r="M117" s="454"/>
      <c r="N117" s="455"/>
      <c r="O117" s="456">
        <f>U116-N117</f>
        <v>2366080.69115803</v>
      </c>
      <c r="P117" s="456">
        <v>614397.624923472</v>
      </c>
      <c r="Q117" s="456"/>
      <c r="R117" s="456"/>
      <c r="S117" s="456"/>
      <c r="T117" s="456"/>
      <c r="U117" s="468"/>
      <c r="V117" s="469"/>
      <c r="W117" s="470"/>
      <c r="X117" s="470"/>
      <c r="Y117" s="470"/>
      <c r="Z117" s="470"/>
      <c r="AA117" s="477"/>
      <c r="AB117" s="478"/>
      <c r="AC117" s="478"/>
      <c r="AD117" s="478"/>
      <c r="AE117" s="478"/>
      <c r="AF117" s="478"/>
    </row>
    <row r="118" s="295" customFormat="1" customHeight="1" spans="6:32">
      <c r="F118" s="297"/>
      <c r="G118" s="297"/>
      <c r="H118" s="297"/>
      <c r="I118" s="297"/>
      <c r="J118" s="297"/>
      <c r="K118" s="297"/>
      <c r="L118" s="297"/>
      <c r="M118" s="457" t="s">
        <v>3213</v>
      </c>
      <c r="N118" s="458"/>
      <c r="O118" s="459"/>
      <c r="P118" s="459"/>
      <c r="Q118" s="459"/>
      <c r="R118" s="459"/>
      <c r="S118" s="459"/>
      <c r="T118" s="459"/>
      <c r="U118" s="471"/>
      <c r="V118" s="472"/>
      <c r="W118" s="472"/>
      <c r="X118" s="472"/>
      <c r="Y118" s="472"/>
      <c r="Z118" s="472"/>
      <c r="AA118" s="479"/>
      <c r="AB118" s="480"/>
      <c r="AC118" s="480"/>
      <c r="AD118" s="472"/>
      <c r="AE118" s="472"/>
      <c r="AF118" s="480"/>
    </row>
    <row r="119" s="295" customFormat="1" customHeight="1" spans="6:32">
      <c r="F119" s="297"/>
      <c r="G119" s="297"/>
      <c r="H119" s="297"/>
      <c r="I119" s="297"/>
      <c r="J119" s="297"/>
      <c r="K119" s="297"/>
      <c r="L119" s="297"/>
      <c r="M119" s="460" t="s">
        <v>3368</v>
      </c>
      <c r="N119" s="459">
        <v>1000</v>
      </c>
      <c r="O119" s="459"/>
      <c r="P119" s="459"/>
      <c r="Q119" s="459"/>
      <c r="R119" s="459"/>
      <c r="S119" s="459"/>
      <c r="T119" s="459"/>
      <c r="U119" s="471"/>
      <c r="V119" s="472"/>
      <c r="W119" s="472"/>
      <c r="X119" s="472"/>
      <c r="Y119" s="472"/>
      <c r="Z119" s="472"/>
      <c r="AA119" s="479"/>
      <c r="AB119" s="480"/>
      <c r="AC119" s="480"/>
      <c r="AD119" s="472"/>
      <c r="AE119" s="472"/>
      <c r="AF119" s="480"/>
    </row>
    <row r="120" s="295" customFormat="1" customHeight="1" spans="6:32">
      <c r="F120" s="297"/>
      <c r="G120" s="297"/>
      <c r="H120" s="297"/>
      <c r="I120" s="297"/>
      <c r="J120" s="297"/>
      <c r="K120" s="297"/>
      <c r="L120" s="297"/>
      <c r="M120" s="461" t="s">
        <v>2837</v>
      </c>
      <c r="N120" s="462">
        <v>500</v>
      </c>
      <c r="O120" s="462"/>
      <c r="P120" s="462"/>
      <c r="Q120" s="462"/>
      <c r="R120" s="462"/>
      <c r="S120" s="462"/>
      <c r="T120" s="462"/>
      <c r="U120" s="473"/>
      <c r="V120" s="474"/>
      <c r="W120" s="474"/>
      <c r="X120" s="474"/>
      <c r="Y120" s="474"/>
      <c r="Z120" s="474"/>
      <c r="AA120" s="481"/>
      <c r="AB120" s="482"/>
      <c r="AC120" s="482"/>
      <c r="AD120" s="474"/>
      <c r="AE120" s="474"/>
      <c r="AF120" s="482"/>
    </row>
    <row r="121" s="295" customFormat="1" customHeight="1" spans="6:32">
      <c r="F121" s="297"/>
      <c r="G121" s="297"/>
      <c r="H121" s="297"/>
      <c r="I121" s="297"/>
      <c r="J121" s="297"/>
      <c r="K121" s="297"/>
      <c r="L121" s="297"/>
      <c r="M121" s="298"/>
      <c r="N121" s="298"/>
      <c r="O121" s="298"/>
      <c r="P121" s="298"/>
      <c r="Q121" s="298"/>
      <c r="R121" s="298"/>
      <c r="S121" s="298"/>
      <c r="T121" s="298"/>
      <c r="U121" s="299"/>
      <c r="V121" s="297"/>
      <c r="W121" s="297"/>
      <c r="X121" s="297"/>
      <c r="Y121" s="297"/>
      <c r="Z121" s="483"/>
      <c r="AA121" s="297"/>
      <c r="AB121" s="300"/>
      <c r="AC121" s="300"/>
      <c r="AD121" s="297"/>
      <c r="AE121" s="297"/>
      <c r="AF121" s="300"/>
    </row>
  </sheetData>
  <conditionalFormatting sqref="D13">
    <cfRule type="duplicateValues" dxfId="3" priority="109"/>
  </conditionalFormatting>
  <conditionalFormatting sqref="E13">
    <cfRule type="duplicateValues" dxfId="3" priority="81"/>
  </conditionalFormatting>
  <conditionalFormatting sqref="D14">
    <cfRule type="duplicateValues" dxfId="3" priority="113"/>
  </conditionalFormatting>
  <conditionalFormatting sqref="D21">
    <cfRule type="duplicateValues" dxfId="3" priority="105"/>
  </conditionalFormatting>
  <conditionalFormatting sqref="D22">
    <cfRule type="duplicateValues" dxfId="3" priority="101"/>
  </conditionalFormatting>
  <conditionalFormatting sqref="D23">
    <cfRule type="duplicateValues" dxfId="3" priority="97"/>
  </conditionalFormatting>
  <conditionalFormatting sqref="D27">
    <cfRule type="duplicateValues" dxfId="3" priority="73"/>
  </conditionalFormatting>
  <conditionalFormatting sqref="D29">
    <cfRule type="duplicateValues" dxfId="3" priority="93"/>
  </conditionalFormatting>
  <conditionalFormatting sqref="D38">
    <cfRule type="duplicateValues" dxfId="3" priority="89"/>
  </conditionalFormatting>
  <conditionalFormatting sqref="D39">
    <cfRule type="duplicateValues" dxfId="3" priority="85"/>
  </conditionalFormatting>
  <conditionalFormatting sqref="D47">
    <cfRule type="duplicateValues" dxfId="3" priority="77"/>
  </conditionalFormatting>
  <conditionalFormatting sqref="D53">
    <cfRule type="duplicateValues" dxfId="3" priority="4"/>
  </conditionalFormatting>
  <conditionalFormatting sqref="D65">
    <cfRule type="duplicateValues" dxfId="3" priority="69"/>
  </conditionalFormatting>
  <conditionalFormatting sqref="D67">
    <cfRule type="duplicateValues" dxfId="3" priority="65"/>
  </conditionalFormatting>
  <conditionalFormatting sqref="D75">
    <cfRule type="duplicateValues" dxfId="3" priority="57"/>
  </conditionalFormatting>
  <conditionalFormatting sqref="D83">
    <cfRule type="duplicateValues" dxfId="3" priority="144"/>
  </conditionalFormatting>
  <conditionalFormatting sqref="D84">
    <cfRule type="duplicateValues" dxfId="3" priority="142"/>
  </conditionalFormatting>
  <conditionalFormatting sqref="D85">
    <cfRule type="duplicateValues" dxfId="3" priority="143"/>
  </conditionalFormatting>
  <conditionalFormatting sqref="D86">
    <cfRule type="duplicateValues" dxfId="3" priority="141"/>
  </conditionalFormatting>
  <conditionalFormatting sqref="D87">
    <cfRule type="duplicateValues" dxfId="3" priority="140"/>
  </conditionalFormatting>
  <conditionalFormatting sqref="D88">
    <cfRule type="duplicateValues" dxfId="3" priority="46"/>
  </conditionalFormatting>
  <conditionalFormatting sqref="D89">
    <cfRule type="duplicateValues" dxfId="3" priority="44"/>
  </conditionalFormatting>
  <conditionalFormatting sqref="D90">
    <cfRule type="duplicateValues" dxfId="3" priority="45"/>
  </conditionalFormatting>
  <conditionalFormatting sqref="D91">
    <cfRule type="duplicateValues" dxfId="3" priority="139"/>
  </conditionalFormatting>
  <conditionalFormatting sqref="D92">
    <cfRule type="duplicateValues" dxfId="3" priority="138"/>
  </conditionalFormatting>
  <conditionalFormatting sqref="D93">
    <cfRule type="duplicateValues" dxfId="3" priority="137"/>
  </conditionalFormatting>
  <conditionalFormatting sqref="D94">
    <cfRule type="duplicateValues" dxfId="3" priority="132"/>
  </conditionalFormatting>
  <conditionalFormatting sqref="D95">
    <cfRule type="duplicateValues" dxfId="3" priority="136"/>
  </conditionalFormatting>
  <conditionalFormatting sqref="D96">
    <cfRule type="duplicateValues" dxfId="3" priority="134"/>
  </conditionalFormatting>
  <conditionalFormatting sqref="D97">
    <cfRule type="duplicateValues" dxfId="3" priority="37"/>
  </conditionalFormatting>
  <conditionalFormatting sqref="D98">
    <cfRule type="duplicateValues" dxfId="3" priority="135"/>
  </conditionalFormatting>
  <conditionalFormatting sqref="D99">
    <cfRule type="duplicateValues" dxfId="3" priority="32"/>
  </conditionalFormatting>
  <conditionalFormatting sqref="D100">
    <cfRule type="duplicateValues" dxfId="3" priority="30"/>
  </conditionalFormatting>
  <conditionalFormatting sqref="D101">
    <cfRule type="duplicateValues" dxfId="3" priority="31"/>
  </conditionalFormatting>
  <conditionalFormatting sqref="D102">
    <cfRule type="duplicateValues" dxfId="3" priority="129"/>
  </conditionalFormatting>
  <conditionalFormatting sqref="D103">
    <cfRule type="duplicateValues" dxfId="3" priority="128"/>
  </conditionalFormatting>
  <conditionalFormatting sqref="D104">
    <cfRule type="duplicateValues" dxfId="3" priority="133"/>
  </conditionalFormatting>
  <conditionalFormatting sqref="D105">
    <cfRule type="duplicateValues" dxfId="3" priority="25"/>
  </conditionalFormatting>
  <conditionalFormatting sqref="D106">
    <cfRule type="duplicateValues" dxfId="3" priority="23"/>
  </conditionalFormatting>
  <conditionalFormatting sqref="D107">
    <cfRule type="duplicateValues" dxfId="3" priority="18"/>
  </conditionalFormatting>
  <conditionalFormatting sqref="D108">
    <cfRule type="duplicateValues" dxfId="3" priority="24"/>
  </conditionalFormatting>
  <conditionalFormatting sqref="D109">
    <cfRule type="duplicateValues" dxfId="3" priority="126"/>
  </conditionalFormatting>
  <conditionalFormatting sqref="D110">
    <cfRule type="duplicateValues" dxfId="3" priority="125"/>
  </conditionalFormatting>
  <conditionalFormatting sqref="D111">
    <cfRule type="duplicateValues" dxfId="3" priority="122"/>
  </conditionalFormatting>
  <conditionalFormatting sqref="D112">
    <cfRule type="duplicateValues" dxfId="3" priority="121"/>
  </conditionalFormatting>
  <conditionalFormatting sqref="D114">
    <cfRule type="duplicateValues" dxfId="3" priority="9"/>
  </conditionalFormatting>
  <conditionalFormatting sqref="D$1:D$1048576">
    <cfRule type="duplicateValues" dxfId="3" priority="5"/>
  </conditionalFormatting>
  <conditionalFormatting sqref="D8:D9">
    <cfRule type="duplicateValues" dxfId="3" priority="117"/>
  </conditionalFormatting>
  <conditionalFormatting sqref="D70:D73">
    <cfRule type="duplicateValues" dxfId="3" priority="61"/>
  </conditionalFormatting>
  <conditionalFormatting sqref="D77:D79">
    <cfRule type="duplicateValues" dxfId="3" priority="51"/>
  </conditionalFormatting>
  <conditionalFormatting sqref="D77:D82">
    <cfRule type="duplicateValues" dxfId="3" priority="47"/>
  </conditionalFormatting>
  <conditionalFormatting sqref="D80:D81">
    <cfRule type="duplicateValues" dxfId="3" priority="50"/>
  </conditionalFormatting>
  <conditionalFormatting sqref="D88:D90">
    <cfRule type="duplicateValues" dxfId="3" priority="43"/>
  </conditionalFormatting>
  <conditionalFormatting sqref="D99:D101">
    <cfRule type="duplicateValues" dxfId="3" priority="29"/>
  </conditionalFormatting>
  <conditionalFormatting sqref="D102:D103">
    <cfRule type="duplicateValues" dxfId="3" priority="127"/>
  </conditionalFormatting>
  <conditionalFormatting sqref="D105:D106">
    <cfRule type="duplicateValues" dxfId="3" priority="20"/>
  </conditionalFormatting>
  <conditionalFormatting sqref="D109:D110">
    <cfRule type="duplicateValues" dxfId="3" priority="124"/>
  </conditionalFormatting>
  <conditionalFormatting sqref="D111:D112">
    <cfRule type="duplicateValues" dxfId="3" priority="120"/>
  </conditionalFormatting>
  <conditionalFormatting sqref="D116:D1048576 D1:D7 D10:D12 D15:D20 D24:D26 D30:D37 D40:D42 D45:D46 D48:D51 D28 D54:D64 D66 D68:D69 D74 D76 D83:D87 D91:D96 D104 D98">
    <cfRule type="duplicateValues" dxfId="3" priority="131"/>
  </conditionalFormatting>
  <conditionalFormatting sqref="D91:D96 D40:D42 D24:D26 D15:D20 D1:D7 D10:D12 D30:D37 D45:D46 D48:D51 D28 D54:D64 D66 D68:D69 D74 D76 D83:D87 D98 D102:D104 D109:D112 D116:D1048576">
    <cfRule type="duplicateValues" dxfId="3" priority="118"/>
  </conditionalFormatting>
  <conditionalFormatting sqref="D91:D96 D40:D42 D24:D26 D15:D20 D1:D12 D30:D37 D45:D46 D48:D51 D28 D54:D64 D66 D68:D69 D74 D76 D83:D87 D98 D102:D104 D109:D112 D116:D1048576">
    <cfRule type="duplicateValues" dxfId="3" priority="114"/>
  </conditionalFormatting>
  <conditionalFormatting sqref="D116:D1048576 D4:D7 D10:D12 D15:D20 D24:D26 D30:D37 D40:D42 D45:D46 D48:D51 D28 D54:D64 D66 D68:D69 D74 D76">
    <cfRule type="duplicateValues" dxfId="3" priority="145"/>
  </conditionalFormatting>
  <conditionalFormatting sqref="D77:D79 D82">
    <cfRule type="duplicateValues" dxfId="3" priority="53"/>
  </conditionalFormatting>
  <conditionalFormatting sqref="D104 D94 D87 D85 D92">
    <cfRule type="duplicateValues" dxfId="3" priority="146"/>
  </conditionalFormatting>
  <conditionalFormatting sqref="D95:D96 D98">
    <cfRule type="duplicateValues" dxfId="3" priority="130"/>
  </conditionalFormatting>
  <conditionalFormatting sqref="D105:D106 D108">
    <cfRule type="duplicateValues" dxfId="3" priority="22"/>
  </conditionalFormatting>
  <conditionalFormatting sqref="D113 D115">
    <cfRule type="duplicateValues" dxfId="3" priority="13"/>
  </conditionalFormatting>
  <pageMargins left="0.75" right="0.75" top="1" bottom="1" header="0.5" footer="0.5"/>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Y229"/>
  <sheetViews>
    <sheetView zoomScale="80" zoomScaleNormal="80" workbookViewId="0">
      <pane xSplit="6" ySplit="1" topLeftCell="Q218" activePane="bottomRight" state="frozen"/>
      <selection/>
      <selection pane="topRight"/>
      <selection pane="bottomLeft"/>
      <selection pane="bottomRight" activeCell="H213" sqref="H213"/>
    </sheetView>
  </sheetViews>
  <sheetFormatPr defaultColWidth="9" defaultRowHeight="13.5"/>
  <cols>
    <col min="1" max="1" width="11.8916666666667" customWidth="1"/>
    <col min="4" max="4" width="17.4416666666667" customWidth="1"/>
    <col min="5" max="5" width="13.1083333333333" customWidth="1"/>
    <col min="6" max="6" width="16.8916666666667" customWidth="1"/>
    <col min="13" max="13" width="13.7583333333333" customWidth="1"/>
    <col min="14" max="14" width="12" customWidth="1"/>
    <col min="67" max="67" width="10.025"/>
    <col min="74" max="74" width="9.375"/>
  </cols>
  <sheetData>
    <row r="1" s="1" customFormat="1" ht="38" customHeight="1" spans="1:51">
      <c r="A1" s="12" t="s">
        <v>0</v>
      </c>
      <c r="B1" s="13" t="s">
        <v>1</v>
      </c>
      <c r="C1" s="14" t="s">
        <v>4</v>
      </c>
      <c r="D1" s="13" t="s">
        <v>3</v>
      </c>
      <c r="E1" s="13" t="s">
        <v>21</v>
      </c>
      <c r="F1" s="13" t="s">
        <v>7</v>
      </c>
      <c r="G1" s="13" t="s">
        <v>5</v>
      </c>
      <c r="H1" s="13" t="s">
        <v>6</v>
      </c>
      <c r="I1" s="13" t="s">
        <v>8</v>
      </c>
      <c r="J1" s="13" t="s">
        <v>9</v>
      </c>
      <c r="K1" s="13" t="s">
        <v>10</v>
      </c>
      <c r="L1" s="13" t="s">
        <v>11</v>
      </c>
      <c r="M1" s="39" t="s">
        <v>22</v>
      </c>
      <c r="N1" s="40" t="s">
        <v>23</v>
      </c>
      <c r="O1" s="41" t="s">
        <v>3369</v>
      </c>
      <c r="P1" s="42" t="s">
        <v>14</v>
      </c>
      <c r="Q1" s="41" t="s">
        <v>3370</v>
      </c>
      <c r="R1" s="13" t="s">
        <v>16</v>
      </c>
      <c r="S1" s="55" t="s">
        <v>24</v>
      </c>
      <c r="T1" s="13" t="s">
        <v>2</v>
      </c>
      <c r="U1" s="42" t="s">
        <v>15</v>
      </c>
      <c r="V1" s="42" t="s">
        <v>28</v>
      </c>
      <c r="W1" s="56" t="s">
        <v>17</v>
      </c>
      <c r="X1" s="56" t="s">
        <v>19</v>
      </c>
      <c r="Y1" s="74" t="s">
        <v>29</v>
      </c>
      <c r="Z1" s="74" t="s">
        <v>30</v>
      </c>
      <c r="AA1" s="74" t="s">
        <v>32</v>
      </c>
      <c r="AB1" s="74" t="s">
        <v>33</v>
      </c>
      <c r="AC1" s="56" t="s">
        <v>3371</v>
      </c>
      <c r="AD1" s="75" t="s">
        <v>3372</v>
      </c>
      <c r="AE1" s="75" t="s">
        <v>3373</v>
      </c>
      <c r="AF1" s="75" t="s">
        <v>3374</v>
      </c>
      <c r="AG1" s="75" t="s">
        <v>3375</v>
      </c>
      <c r="AH1" s="75" t="s">
        <v>3376</v>
      </c>
      <c r="AI1" s="75" t="s">
        <v>3377</v>
      </c>
      <c r="AJ1" s="75" t="s">
        <v>3378</v>
      </c>
      <c r="AK1" s="75" t="s">
        <v>3379</v>
      </c>
      <c r="AL1" s="77" t="s">
        <v>3380</v>
      </c>
      <c r="AM1" s="75" t="s">
        <v>3381</v>
      </c>
      <c r="AN1" s="75" t="s">
        <v>3382</v>
      </c>
      <c r="AO1" s="75" t="s">
        <v>3383</v>
      </c>
      <c r="AP1" s="75" t="s">
        <v>3384</v>
      </c>
      <c r="AQ1" s="75" t="s">
        <v>3385</v>
      </c>
      <c r="AR1" s="75" t="s">
        <v>3386</v>
      </c>
      <c r="AS1" s="75" t="s">
        <v>3387</v>
      </c>
      <c r="AT1" s="78" t="s">
        <v>3388</v>
      </c>
      <c r="AU1" s="75" t="s">
        <v>3389</v>
      </c>
      <c r="AV1" s="75" t="s">
        <v>3390</v>
      </c>
      <c r="AW1" s="75" t="s">
        <v>3391</v>
      </c>
      <c r="AX1" s="75" t="s">
        <v>3392</v>
      </c>
      <c r="AY1" s="79" t="s">
        <v>20</v>
      </c>
    </row>
    <row r="2" s="2" customFormat="1" ht="19" customHeight="1" spans="1:73">
      <c r="A2" s="15">
        <v>44393</v>
      </c>
      <c r="B2" s="16" t="s">
        <v>3393</v>
      </c>
      <c r="D2" s="17" t="s">
        <v>3394</v>
      </c>
      <c r="E2" s="16" t="s">
        <v>3395</v>
      </c>
      <c r="F2" s="17" t="s">
        <v>3396</v>
      </c>
      <c r="G2" s="17"/>
      <c r="H2" s="17">
        <v>77198</v>
      </c>
      <c r="I2" s="17">
        <v>9648</v>
      </c>
      <c r="J2" s="17">
        <v>0</v>
      </c>
      <c r="K2" s="17">
        <v>36</v>
      </c>
      <c r="L2" s="43">
        <f t="shared" ref="L2:L49" si="0">I2/K2</f>
        <v>268</v>
      </c>
      <c r="M2" s="44">
        <v>0</v>
      </c>
      <c r="N2" s="45">
        <f t="shared" ref="N2:N13" si="1">I2*M2</f>
        <v>0</v>
      </c>
      <c r="O2" s="16" t="s">
        <v>3397</v>
      </c>
      <c r="P2" s="46"/>
      <c r="Q2" s="16" t="s">
        <v>3398</v>
      </c>
      <c r="R2" s="17"/>
      <c r="S2" s="57" t="s">
        <v>3399</v>
      </c>
      <c r="T2" s="17" t="s">
        <v>3400</v>
      </c>
      <c r="U2" s="46"/>
      <c r="V2" s="17"/>
      <c r="W2" s="58" t="s">
        <v>58</v>
      </c>
      <c r="X2" s="58" t="s">
        <v>58</v>
      </c>
      <c r="Y2" s="76"/>
      <c r="Z2" s="76"/>
      <c r="AA2" s="76"/>
      <c r="AB2" s="76"/>
      <c r="AC2" s="58"/>
      <c r="AY2" s="18" t="s">
        <v>3401</v>
      </c>
      <c r="BA2" s="2">
        <f t="shared" ref="BA2:BU2" si="2">$AD2*BA$1</f>
        <v>0</v>
      </c>
      <c r="BB2" s="2">
        <f t="shared" si="2"/>
        <v>0</v>
      </c>
      <c r="BC2" s="2">
        <f t="shared" si="2"/>
        <v>0</v>
      </c>
      <c r="BD2" s="2">
        <f t="shared" si="2"/>
        <v>0</v>
      </c>
      <c r="BE2" s="2">
        <f t="shared" si="2"/>
        <v>0</v>
      </c>
      <c r="BF2" s="2">
        <f t="shared" si="2"/>
        <v>0</v>
      </c>
      <c r="BG2" s="2">
        <f t="shared" si="2"/>
        <v>0</v>
      </c>
      <c r="BH2" s="2">
        <f t="shared" si="2"/>
        <v>0</v>
      </c>
      <c r="BI2" s="2">
        <f t="shared" si="2"/>
        <v>0</v>
      </c>
      <c r="BJ2" s="2">
        <f t="shared" si="2"/>
        <v>0</v>
      </c>
      <c r="BK2" s="2">
        <f t="shared" si="2"/>
        <v>0</v>
      </c>
      <c r="BL2" s="2">
        <f t="shared" si="2"/>
        <v>0</v>
      </c>
      <c r="BM2" s="2">
        <f t="shared" si="2"/>
        <v>0</v>
      </c>
      <c r="BN2" s="2">
        <f t="shared" si="2"/>
        <v>0</v>
      </c>
      <c r="BO2" s="2">
        <f t="shared" si="2"/>
        <v>0</v>
      </c>
      <c r="BP2" s="2">
        <f t="shared" si="2"/>
        <v>0</v>
      </c>
      <c r="BQ2" s="2">
        <f t="shared" si="2"/>
        <v>0</v>
      </c>
      <c r="BR2" s="2">
        <f t="shared" si="2"/>
        <v>0</v>
      </c>
      <c r="BS2" s="2">
        <f t="shared" si="2"/>
        <v>0</v>
      </c>
      <c r="BT2" s="2">
        <f t="shared" si="2"/>
        <v>0</v>
      </c>
      <c r="BU2" s="2">
        <f t="shared" si="2"/>
        <v>0</v>
      </c>
    </row>
    <row r="3" s="2" customFormat="1" ht="19" customHeight="1" spans="1:73">
      <c r="A3" s="15">
        <v>44393</v>
      </c>
      <c r="B3" s="16" t="s">
        <v>3393</v>
      </c>
      <c r="D3" s="17" t="s">
        <v>3402</v>
      </c>
      <c r="E3" s="16" t="s">
        <v>3395</v>
      </c>
      <c r="F3" s="17" t="s">
        <v>3396</v>
      </c>
      <c r="G3" s="17"/>
      <c r="H3" s="17">
        <v>77198</v>
      </c>
      <c r="I3" s="17">
        <v>9504</v>
      </c>
      <c r="J3" s="17">
        <v>0</v>
      </c>
      <c r="K3" s="17">
        <v>36</v>
      </c>
      <c r="L3" s="43">
        <f t="shared" si="0"/>
        <v>264</v>
      </c>
      <c r="M3" s="44">
        <v>0</v>
      </c>
      <c r="N3" s="45">
        <f t="shared" si="1"/>
        <v>0</v>
      </c>
      <c r="O3" s="16" t="s">
        <v>3397</v>
      </c>
      <c r="P3" s="46"/>
      <c r="Q3" s="16" t="s">
        <v>3398</v>
      </c>
      <c r="R3" s="17"/>
      <c r="S3" s="57" t="s">
        <v>3399</v>
      </c>
      <c r="T3" s="17" t="s">
        <v>3400</v>
      </c>
      <c r="U3" s="46"/>
      <c r="V3" s="17"/>
      <c r="W3" s="58" t="s">
        <v>58</v>
      </c>
      <c r="X3" s="58" t="s">
        <v>58</v>
      </c>
      <c r="Y3" s="76"/>
      <c r="Z3" s="76"/>
      <c r="AA3" s="76"/>
      <c r="AB3" s="76"/>
      <c r="AC3" s="58"/>
      <c r="AY3" s="18" t="s">
        <v>3403</v>
      </c>
      <c r="BA3" s="80">
        <f t="shared" ref="BA3:BU3" si="3">$AD3*BA$1</f>
        <v>0</v>
      </c>
      <c r="BB3" s="80">
        <f t="shared" si="3"/>
        <v>0</v>
      </c>
      <c r="BC3" s="80">
        <f t="shared" si="3"/>
        <v>0</v>
      </c>
      <c r="BD3" s="80">
        <f t="shared" si="3"/>
        <v>0</v>
      </c>
      <c r="BE3" s="80">
        <f t="shared" si="3"/>
        <v>0</v>
      </c>
      <c r="BF3" s="80">
        <f t="shared" si="3"/>
        <v>0</v>
      </c>
      <c r="BG3" s="80">
        <f t="shared" si="3"/>
        <v>0</v>
      </c>
      <c r="BH3" s="80">
        <f t="shared" si="3"/>
        <v>0</v>
      </c>
      <c r="BI3" s="80">
        <f t="shared" si="3"/>
        <v>0</v>
      </c>
      <c r="BJ3" s="80">
        <f t="shared" si="3"/>
        <v>0</v>
      </c>
      <c r="BK3" s="80">
        <f t="shared" si="3"/>
        <v>0</v>
      </c>
      <c r="BL3" s="2">
        <f t="shared" si="3"/>
        <v>0</v>
      </c>
      <c r="BM3" s="2">
        <f t="shared" si="3"/>
        <v>0</v>
      </c>
      <c r="BN3" s="2">
        <f t="shared" si="3"/>
        <v>0</v>
      </c>
      <c r="BO3" s="2">
        <f t="shared" si="3"/>
        <v>0</v>
      </c>
      <c r="BP3" s="2">
        <f t="shared" si="3"/>
        <v>0</v>
      </c>
      <c r="BQ3" s="2">
        <f t="shared" si="3"/>
        <v>0</v>
      </c>
      <c r="BR3" s="2">
        <f t="shared" si="3"/>
        <v>0</v>
      </c>
      <c r="BS3" s="2">
        <f t="shared" si="3"/>
        <v>0</v>
      </c>
      <c r="BT3" s="2">
        <f t="shared" si="3"/>
        <v>0</v>
      </c>
      <c r="BU3" s="2">
        <f t="shared" si="3"/>
        <v>0</v>
      </c>
    </row>
    <row r="4" s="2" customFormat="1" ht="19" customHeight="1" spans="1:73">
      <c r="A4" s="15">
        <v>44393</v>
      </c>
      <c r="B4" s="16" t="s">
        <v>3393</v>
      </c>
      <c r="D4" s="17" t="s">
        <v>3404</v>
      </c>
      <c r="E4" s="16" t="s">
        <v>3395</v>
      </c>
      <c r="F4" s="17" t="s">
        <v>3396</v>
      </c>
      <c r="G4" s="17"/>
      <c r="H4" s="17">
        <v>77198</v>
      </c>
      <c r="I4" s="17">
        <v>11700</v>
      </c>
      <c r="J4" s="17">
        <v>0</v>
      </c>
      <c r="K4" s="17">
        <v>36</v>
      </c>
      <c r="L4" s="43">
        <f t="shared" si="0"/>
        <v>325</v>
      </c>
      <c r="M4" s="44">
        <v>0</v>
      </c>
      <c r="N4" s="45">
        <f t="shared" si="1"/>
        <v>0</v>
      </c>
      <c r="O4" s="16" t="s">
        <v>3405</v>
      </c>
      <c r="P4" s="46"/>
      <c r="Q4" s="16" t="s">
        <v>3406</v>
      </c>
      <c r="R4" s="17"/>
      <c r="S4" s="57" t="s">
        <v>3399</v>
      </c>
      <c r="T4" s="17" t="s">
        <v>3400</v>
      </c>
      <c r="U4" s="46"/>
      <c r="V4" s="17"/>
      <c r="W4" s="58" t="s">
        <v>58</v>
      </c>
      <c r="X4" s="58" t="s">
        <v>58</v>
      </c>
      <c r="Y4" s="76"/>
      <c r="Z4" s="76"/>
      <c r="AA4" s="76"/>
      <c r="AB4" s="76"/>
      <c r="AC4" s="58"/>
      <c r="AY4" s="18" t="s">
        <v>3407</v>
      </c>
      <c r="BA4" s="80">
        <f t="shared" ref="BA4:BU4" si="4">$AD4*BA$1</f>
        <v>0</v>
      </c>
      <c r="BB4" s="80">
        <f t="shared" si="4"/>
        <v>0</v>
      </c>
      <c r="BC4" s="80">
        <f t="shared" si="4"/>
        <v>0</v>
      </c>
      <c r="BD4" s="80">
        <f t="shared" si="4"/>
        <v>0</v>
      </c>
      <c r="BE4" s="80">
        <f t="shared" si="4"/>
        <v>0</v>
      </c>
      <c r="BF4" s="80">
        <f t="shared" si="4"/>
        <v>0</v>
      </c>
      <c r="BG4" s="80">
        <f t="shared" si="4"/>
        <v>0</v>
      </c>
      <c r="BH4" s="80">
        <f t="shared" si="4"/>
        <v>0</v>
      </c>
      <c r="BI4" s="80">
        <f t="shared" si="4"/>
        <v>0</v>
      </c>
      <c r="BJ4" s="80">
        <f t="shared" si="4"/>
        <v>0</v>
      </c>
      <c r="BK4" s="80">
        <f t="shared" si="4"/>
        <v>0</v>
      </c>
      <c r="BL4" s="2">
        <f t="shared" si="4"/>
        <v>0</v>
      </c>
      <c r="BM4" s="2">
        <f t="shared" si="4"/>
        <v>0</v>
      </c>
      <c r="BN4" s="2">
        <f t="shared" si="4"/>
        <v>0</v>
      </c>
      <c r="BO4" s="2">
        <f t="shared" si="4"/>
        <v>0</v>
      </c>
      <c r="BP4" s="2">
        <f t="shared" si="4"/>
        <v>0</v>
      </c>
      <c r="BQ4" s="2">
        <f t="shared" si="4"/>
        <v>0</v>
      </c>
      <c r="BR4" s="2">
        <f t="shared" si="4"/>
        <v>0</v>
      </c>
      <c r="BS4" s="2">
        <f t="shared" si="4"/>
        <v>0</v>
      </c>
      <c r="BT4" s="2">
        <f t="shared" si="4"/>
        <v>0</v>
      </c>
      <c r="BU4" s="2">
        <f t="shared" si="4"/>
        <v>0</v>
      </c>
    </row>
    <row r="5" s="2" customFormat="1" ht="19" customHeight="1" spans="1:73">
      <c r="A5" s="15">
        <v>44393</v>
      </c>
      <c r="B5" s="16" t="s">
        <v>3393</v>
      </c>
      <c r="D5" s="17" t="s">
        <v>3408</v>
      </c>
      <c r="E5" s="16" t="s">
        <v>3395</v>
      </c>
      <c r="F5" s="17" t="s">
        <v>3396</v>
      </c>
      <c r="G5" s="17"/>
      <c r="H5" s="17">
        <v>77198</v>
      </c>
      <c r="I5" s="17">
        <v>15336</v>
      </c>
      <c r="J5" s="17">
        <v>0</v>
      </c>
      <c r="K5" s="17">
        <v>36</v>
      </c>
      <c r="L5" s="43">
        <f t="shared" si="0"/>
        <v>426</v>
      </c>
      <c r="M5" s="44">
        <v>0</v>
      </c>
      <c r="N5" s="45">
        <f t="shared" si="1"/>
        <v>0</v>
      </c>
      <c r="O5" s="16" t="s">
        <v>3409</v>
      </c>
      <c r="P5" s="46"/>
      <c r="Q5" s="16" t="s">
        <v>3410</v>
      </c>
      <c r="R5" s="17"/>
      <c r="S5" s="57" t="s">
        <v>3399</v>
      </c>
      <c r="T5" s="17" t="s">
        <v>3400</v>
      </c>
      <c r="U5" s="46"/>
      <c r="V5" s="17"/>
      <c r="W5" s="58" t="s">
        <v>58</v>
      </c>
      <c r="X5" s="58" t="s">
        <v>58</v>
      </c>
      <c r="Y5" s="76"/>
      <c r="Z5" s="76"/>
      <c r="AA5" s="76"/>
      <c r="AB5" s="76"/>
      <c r="AC5" s="58"/>
      <c r="AY5" s="18" t="s">
        <v>3411</v>
      </c>
      <c r="BA5" s="80">
        <f t="shared" ref="BA5:BU5" si="5">$AD5*BA$1</f>
        <v>0</v>
      </c>
      <c r="BB5" s="80">
        <f t="shared" si="5"/>
        <v>0</v>
      </c>
      <c r="BC5" s="80">
        <f t="shared" si="5"/>
        <v>0</v>
      </c>
      <c r="BD5" s="80">
        <f t="shared" si="5"/>
        <v>0</v>
      </c>
      <c r="BE5" s="80">
        <f t="shared" si="5"/>
        <v>0</v>
      </c>
      <c r="BF5" s="80">
        <f t="shared" si="5"/>
        <v>0</v>
      </c>
      <c r="BG5" s="80">
        <f t="shared" si="5"/>
        <v>0</v>
      </c>
      <c r="BH5" s="80">
        <f t="shared" si="5"/>
        <v>0</v>
      </c>
      <c r="BI5" s="80">
        <f t="shared" si="5"/>
        <v>0</v>
      </c>
      <c r="BJ5" s="80">
        <f t="shared" si="5"/>
        <v>0</v>
      </c>
      <c r="BK5" s="80">
        <f t="shared" si="5"/>
        <v>0</v>
      </c>
      <c r="BL5" s="2">
        <f t="shared" si="5"/>
        <v>0</v>
      </c>
      <c r="BM5" s="2">
        <f t="shared" si="5"/>
        <v>0</v>
      </c>
      <c r="BN5" s="2">
        <f t="shared" si="5"/>
        <v>0</v>
      </c>
      <c r="BO5" s="2">
        <f t="shared" si="5"/>
        <v>0</v>
      </c>
      <c r="BP5" s="2">
        <f t="shared" si="5"/>
        <v>0</v>
      </c>
      <c r="BQ5" s="2">
        <f t="shared" si="5"/>
        <v>0</v>
      </c>
      <c r="BR5" s="2">
        <f t="shared" si="5"/>
        <v>0</v>
      </c>
      <c r="BS5" s="2">
        <f t="shared" si="5"/>
        <v>0</v>
      </c>
      <c r="BT5" s="2">
        <f t="shared" si="5"/>
        <v>0</v>
      </c>
      <c r="BU5" s="2">
        <f t="shared" si="5"/>
        <v>0</v>
      </c>
    </row>
    <row r="6" s="2" customFormat="1" ht="19" customHeight="1" spans="1:73">
      <c r="A6" s="15">
        <v>44393</v>
      </c>
      <c r="B6" s="16" t="s">
        <v>3393</v>
      </c>
      <c r="D6" s="17" t="s">
        <v>3412</v>
      </c>
      <c r="E6" s="16" t="s">
        <v>3395</v>
      </c>
      <c r="F6" s="17" t="s">
        <v>3396</v>
      </c>
      <c r="G6" s="17"/>
      <c r="H6" s="17">
        <v>77198</v>
      </c>
      <c r="I6" s="17">
        <v>14364</v>
      </c>
      <c r="J6" s="17">
        <v>0</v>
      </c>
      <c r="K6" s="17">
        <v>36</v>
      </c>
      <c r="L6" s="43">
        <f t="shared" si="0"/>
        <v>399</v>
      </c>
      <c r="M6" s="44">
        <v>0</v>
      </c>
      <c r="N6" s="45">
        <f t="shared" si="1"/>
        <v>0</v>
      </c>
      <c r="O6" s="16" t="s">
        <v>3410</v>
      </c>
      <c r="P6" s="46"/>
      <c r="Q6" s="16" t="s">
        <v>3413</v>
      </c>
      <c r="R6" s="17"/>
      <c r="S6" s="57" t="s">
        <v>3399</v>
      </c>
      <c r="T6" s="17" t="s">
        <v>3400</v>
      </c>
      <c r="U6" s="46"/>
      <c r="V6" s="17"/>
      <c r="W6" s="58" t="s">
        <v>58</v>
      </c>
      <c r="X6" s="58" t="s">
        <v>58</v>
      </c>
      <c r="Y6" s="76"/>
      <c r="Z6" s="76"/>
      <c r="AA6" s="76"/>
      <c r="AB6" s="76"/>
      <c r="AC6" s="58"/>
      <c r="AY6" s="18" t="s">
        <v>3414</v>
      </c>
      <c r="BA6" s="80">
        <f t="shared" ref="BA6:BU6" si="6">$AD6*BA$1</f>
        <v>0</v>
      </c>
      <c r="BB6" s="80">
        <f t="shared" si="6"/>
        <v>0</v>
      </c>
      <c r="BC6" s="80">
        <f t="shared" si="6"/>
        <v>0</v>
      </c>
      <c r="BD6" s="80">
        <f t="shared" si="6"/>
        <v>0</v>
      </c>
      <c r="BE6" s="80">
        <f t="shared" si="6"/>
        <v>0</v>
      </c>
      <c r="BF6" s="80">
        <f t="shared" si="6"/>
        <v>0</v>
      </c>
      <c r="BG6" s="80">
        <f t="shared" si="6"/>
        <v>0</v>
      </c>
      <c r="BH6" s="80">
        <f t="shared" si="6"/>
        <v>0</v>
      </c>
      <c r="BI6" s="80">
        <f t="shared" si="6"/>
        <v>0</v>
      </c>
      <c r="BJ6" s="80">
        <f t="shared" si="6"/>
        <v>0</v>
      </c>
      <c r="BK6" s="80">
        <f t="shared" si="6"/>
        <v>0</v>
      </c>
      <c r="BL6" s="2">
        <f t="shared" si="6"/>
        <v>0</v>
      </c>
      <c r="BM6" s="2">
        <f t="shared" si="6"/>
        <v>0</v>
      </c>
      <c r="BN6" s="2">
        <f t="shared" si="6"/>
        <v>0</v>
      </c>
      <c r="BO6" s="2">
        <f t="shared" si="6"/>
        <v>0</v>
      </c>
      <c r="BP6" s="2">
        <f t="shared" si="6"/>
        <v>0</v>
      </c>
      <c r="BQ6" s="2">
        <f t="shared" si="6"/>
        <v>0</v>
      </c>
      <c r="BR6" s="2">
        <f t="shared" si="6"/>
        <v>0</v>
      </c>
      <c r="BS6" s="2">
        <f t="shared" si="6"/>
        <v>0</v>
      </c>
      <c r="BT6" s="2">
        <f t="shared" si="6"/>
        <v>0</v>
      </c>
      <c r="BU6" s="2">
        <f t="shared" si="6"/>
        <v>0</v>
      </c>
    </row>
    <row r="7" s="2" customFormat="1" ht="19" customHeight="1" spans="1:73">
      <c r="A7" s="15">
        <v>44393</v>
      </c>
      <c r="B7" s="16" t="s">
        <v>3393</v>
      </c>
      <c r="D7" s="17" t="s">
        <v>3415</v>
      </c>
      <c r="E7" s="16" t="s">
        <v>3395</v>
      </c>
      <c r="F7" s="17" t="s">
        <v>3396</v>
      </c>
      <c r="G7" s="17"/>
      <c r="H7" s="17">
        <v>77198</v>
      </c>
      <c r="I7" s="17">
        <v>11448</v>
      </c>
      <c r="J7" s="17">
        <v>0</v>
      </c>
      <c r="K7" s="17">
        <v>36</v>
      </c>
      <c r="L7" s="43">
        <f t="shared" si="0"/>
        <v>318</v>
      </c>
      <c r="M7" s="44">
        <v>0</v>
      </c>
      <c r="N7" s="45">
        <f t="shared" si="1"/>
        <v>0</v>
      </c>
      <c r="O7" s="16" t="s">
        <v>3410</v>
      </c>
      <c r="P7" s="46"/>
      <c r="Q7" s="16" t="s">
        <v>3413</v>
      </c>
      <c r="R7" s="17"/>
      <c r="S7" s="57" t="s">
        <v>3399</v>
      </c>
      <c r="T7" s="17" t="s">
        <v>3400</v>
      </c>
      <c r="U7" s="46"/>
      <c r="V7" s="17"/>
      <c r="W7" s="58" t="s">
        <v>58</v>
      </c>
      <c r="X7" s="58" t="s">
        <v>58</v>
      </c>
      <c r="Y7" s="76"/>
      <c r="Z7" s="76"/>
      <c r="AA7" s="76"/>
      <c r="AB7" s="76"/>
      <c r="AC7" s="58"/>
      <c r="AY7" s="18" t="s">
        <v>3416</v>
      </c>
      <c r="BA7" s="80">
        <f t="shared" ref="BA7:BU7" si="7">$AD7*BA$1</f>
        <v>0</v>
      </c>
      <c r="BB7" s="80">
        <f t="shared" si="7"/>
        <v>0</v>
      </c>
      <c r="BC7" s="80">
        <f t="shared" si="7"/>
        <v>0</v>
      </c>
      <c r="BD7" s="80">
        <f t="shared" si="7"/>
        <v>0</v>
      </c>
      <c r="BE7" s="80">
        <f t="shared" si="7"/>
        <v>0</v>
      </c>
      <c r="BF7" s="80">
        <f t="shared" si="7"/>
        <v>0</v>
      </c>
      <c r="BG7" s="80">
        <f t="shared" si="7"/>
        <v>0</v>
      </c>
      <c r="BH7" s="80">
        <f t="shared" si="7"/>
        <v>0</v>
      </c>
      <c r="BI7" s="80">
        <f t="shared" si="7"/>
        <v>0</v>
      </c>
      <c r="BJ7" s="80">
        <f t="shared" si="7"/>
        <v>0</v>
      </c>
      <c r="BK7" s="80">
        <f t="shared" si="7"/>
        <v>0</v>
      </c>
      <c r="BL7" s="2">
        <f t="shared" si="7"/>
        <v>0</v>
      </c>
      <c r="BM7" s="2">
        <f t="shared" si="7"/>
        <v>0</v>
      </c>
      <c r="BN7" s="2">
        <f t="shared" si="7"/>
        <v>0</v>
      </c>
      <c r="BO7" s="2">
        <f t="shared" si="7"/>
        <v>0</v>
      </c>
      <c r="BP7" s="2">
        <f t="shared" si="7"/>
        <v>0</v>
      </c>
      <c r="BQ7" s="2">
        <f t="shared" si="7"/>
        <v>0</v>
      </c>
      <c r="BR7" s="2">
        <f t="shared" si="7"/>
        <v>0</v>
      </c>
      <c r="BS7" s="2">
        <f t="shared" si="7"/>
        <v>0</v>
      </c>
      <c r="BT7" s="2">
        <f t="shared" si="7"/>
        <v>0</v>
      </c>
      <c r="BU7" s="2">
        <f t="shared" si="7"/>
        <v>0</v>
      </c>
    </row>
    <row r="8" s="2" customFormat="1" ht="19" customHeight="1" spans="1:73">
      <c r="A8" s="15">
        <v>44412</v>
      </c>
      <c r="B8" s="18" t="s">
        <v>1186</v>
      </c>
      <c r="C8" s="17"/>
      <c r="D8" s="2">
        <v>4500058638</v>
      </c>
      <c r="E8" s="16" t="s">
        <v>3417</v>
      </c>
      <c r="F8" s="17" t="s">
        <v>3418</v>
      </c>
      <c r="G8" s="17"/>
      <c r="H8" s="16" t="s">
        <v>3419</v>
      </c>
      <c r="I8" s="17">
        <v>4288</v>
      </c>
      <c r="J8" s="17">
        <v>0</v>
      </c>
      <c r="K8" s="17">
        <v>8</v>
      </c>
      <c r="L8" s="43">
        <f t="shared" si="0"/>
        <v>536</v>
      </c>
      <c r="M8" s="44">
        <v>0</v>
      </c>
      <c r="N8" s="45">
        <f t="shared" si="1"/>
        <v>0</v>
      </c>
      <c r="O8" s="16" t="s">
        <v>3420</v>
      </c>
      <c r="P8" s="46"/>
      <c r="Q8" s="16" t="s">
        <v>3421</v>
      </c>
      <c r="R8" s="17"/>
      <c r="S8" s="59" t="s">
        <v>3422</v>
      </c>
      <c r="T8" s="17" t="s">
        <v>84</v>
      </c>
      <c r="U8" s="46"/>
      <c r="V8" s="17"/>
      <c r="W8" s="58" t="s">
        <v>58</v>
      </c>
      <c r="X8" s="58" t="s">
        <v>58</v>
      </c>
      <c r="Y8" s="76"/>
      <c r="Z8" s="76"/>
      <c r="AA8" s="76"/>
      <c r="AB8" s="76"/>
      <c r="AC8" s="58"/>
      <c r="AF8" s="2">
        <f t="shared" ref="AF8:AF35" si="8">AD8</f>
        <v>0</v>
      </c>
      <c r="AG8" s="2">
        <f t="shared" ref="AG8:AG35" si="9">AF8</f>
        <v>0</v>
      </c>
      <c r="AY8" s="18" t="s">
        <v>3423</v>
      </c>
      <c r="BA8" s="80">
        <f t="shared" ref="BA8:BU8" si="10">$AD8*BA$1</f>
        <v>0</v>
      </c>
      <c r="BB8" s="80">
        <f t="shared" si="10"/>
        <v>0</v>
      </c>
      <c r="BC8" s="80">
        <f t="shared" si="10"/>
        <v>0</v>
      </c>
      <c r="BD8" s="80">
        <f t="shared" si="10"/>
        <v>0</v>
      </c>
      <c r="BE8" s="80">
        <f t="shared" si="10"/>
        <v>0</v>
      </c>
      <c r="BF8" s="80">
        <f t="shared" si="10"/>
        <v>0</v>
      </c>
      <c r="BG8" s="80">
        <f t="shared" si="10"/>
        <v>0</v>
      </c>
      <c r="BH8" s="80">
        <f t="shared" si="10"/>
        <v>0</v>
      </c>
      <c r="BI8" s="80">
        <f t="shared" si="10"/>
        <v>0</v>
      </c>
      <c r="BJ8" s="80">
        <f t="shared" si="10"/>
        <v>0</v>
      </c>
      <c r="BK8" s="80">
        <f t="shared" si="10"/>
        <v>0</v>
      </c>
      <c r="BL8" s="2">
        <f t="shared" si="10"/>
        <v>0</v>
      </c>
      <c r="BM8" s="2">
        <f t="shared" si="10"/>
        <v>0</v>
      </c>
      <c r="BN8" s="2">
        <f t="shared" si="10"/>
        <v>0</v>
      </c>
      <c r="BO8" s="2">
        <f t="shared" si="10"/>
        <v>0</v>
      </c>
      <c r="BP8" s="2">
        <f t="shared" si="10"/>
        <v>0</v>
      </c>
      <c r="BQ8" s="2">
        <f t="shared" si="10"/>
        <v>0</v>
      </c>
      <c r="BR8" s="2">
        <f t="shared" si="10"/>
        <v>0</v>
      </c>
      <c r="BS8" s="2">
        <f t="shared" si="10"/>
        <v>0</v>
      </c>
      <c r="BT8" s="2">
        <f t="shared" si="10"/>
        <v>0</v>
      </c>
      <c r="BU8" s="2">
        <f t="shared" si="10"/>
        <v>0</v>
      </c>
    </row>
    <row r="9" s="2" customFormat="1" ht="19" customHeight="1" spans="1:73">
      <c r="A9" s="15">
        <v>44412</v>
      </c>
      <c r="B9" s="18" t="s">
        <v>1186</v>
      </c>
      <c r="C9" s="17"/>
      <c r="D9" s="2">
        <v>4500058639</v>
      </c>
      <c r="E9" s="16" t="s">
        <v>3417</v>
      </c>
      <c r="F9" s="17" t="s">
        <v>3418</v>
      </c>
      <c r="G9" s="17"/>
      <c r="H9" s="16" t="s">
        <v>3419</v>
      </c>
      <c r="I9" s="17">
        <v>5088</v>
      </c>
      <c r="J9" s="17">
        <v>0</v>
      </c>
      <c r="K9" s="17">
        <v>8</v>
      </c>
      <c r="L9" s="43">
        <f t="shared" si="0"/>
        <v>636</v>
      </c>
      <c r="M9" s="44">
        <v>0</v>
      </c>
      <c r="N9" s="45">
        <f t="shared" si="1"/>
        <v>0</v>
      </c>
      <c r="O9" s="16" t="s">
        <v>3420</v>
      </c>
      <c r="P9" s="46"/>
      <c r="Q9" s="16" t="s">
        <v>3421</v>
      </c>
      <c r="R9" s="17"/>
      <c r="S9" s="59" t="s">
        <v>3422</v>
      </c>
      <c r="T9" s="17" t="s">
        <v>84</v>
      </c>
      <c r="U9" s="46"/>
      <c r="V9" s="17"/>
      <c r="W9" s="58" t="s">
        <v>58</v>
      </c>
      <c r="X9" s="58" t="s">
        <v>58</v>
      </c>
      <c r="Y9" s="76"/>
      <c r="Z9" s="76"/>
      <c r="AA9" s="76"/>
      <c r="AB9" s="76"/>
      <c r="AC9" s="58"/>
      <c r="AF9" s="2">
        <f t="shared" si="8"/>
        <v>0</v>
      </c>
      <c r="AG9" s="2">
        <f t="shared" si="9"/>
        <v>0</v>
      </c>
      <c r="AY9" s="18" t="s">
        <v>3423</v>
      </c>
      <c r="BA9" s="80">
        <f t="shared" ref="BA9:BU9" si="11">$AD9*BA$1</f>
        <v>0</v>
      </c>
      <c r="BB9" s="80">
        <f t="shared" si="11"/>
        <v>0</v>
      </c>
      <c r="BC9" s="80">
        <f t="shared" si="11"/>
        <v>0</v>
      </c>
      <c r="BD9" s="80">
        <f t="shared" si="11"/>
        <v>0</v>
      </c>
      <c r="BE9" s="80">
        <f t="shared" si="11"/>
        <v>0</v>
      </c>
      <c r="BF9" s="80">
        <f t="shared" si="11"/>
        <v>0</v>
      </c>
      <c r="BG9" s="80">
        <f t="shared" si="11"/>
        <v>0</v>
      </c>
      <c r="BH9" s="80">
        <f t="shared" si="11"/>
        <v>0</v>
      </c>
      <c r="BI9" s="80">
        <f t="shared" si="11"/>
        <v>0</v>
      </c>
      <c r="BJ9" s="80">
        <f t="shared" si="11"/>
        <v>0</v>
      </c>
      <c r="BK9" s="80">
        <f t="shared" si="11"/>
        <v>0</v>
      </c>
      <c r="BL9" s="2">
        <f t="shared" si="11"/>
        <v>0</v>
      </c>
      <c r="BM9" s="2">
        <f t="shared" si="11"/>
        <v>0</v>
      </c>
      <c r="BN9" s="2">
        <f t="shared" si="11"/>
        <v>0</v>
      </c>
      <c r="BO9" s="2">
        <f t="shared" si="11"/>
        <v>0</v>
      </c>
      <c r="BP9" s="2">
        <f t="shared" si="11"/>
        <v>0</v>
      </c>
      <c r="BQ9" s="2">
        <f t="shared" si="11"/>
        <v>0</v>
      </c>
      <c r="BR9" s="2">
        <f t="shared" si="11"/>
        <v>0</v>
      </c>
      <c r="BS9" s="2">
        <f t="shared" si="11"/>
        <v>0</v>
      </c>
      <c r="BT9" s="2">
        <f t="shared" si="11"/>
        <v>0</v>
      </c>
      <c r="BU9" s="2">
        <f t="shared" si="11"/>
        <v>0</v>
      </c>
    </row>
    <row r="10" s="2" customFormat="1" ht="19" customHeight="1" spans="1:73">
      <c r="A10" s="15">
        <v>44412</v>
      </c>
      <c r="B10" s="18" t="s">
        <v>1186</v>
      </c>
      <c r="C10" s="17"/>
      <c r="D10" s="2">
        <v>4500058640</v>
      </c>
      <c r="E10" s="16" t="s">
        <v>3417</v>
      </c>
      <c r="F10" s="17" t="s">
        <v>3418</v>
      </c>
      <c r="G10" s="17"/>
      <c r="H10" s="16" t="s">
        <v>3419</v>
      </c>
      <c r="I10" s="17">
        <v>6384</v>
      </c>
      <c r="J10" s="17">
        <v>0</v>
      </c>
      <c r="K10" s="17">
        <v>8</v>
      </c>
      <c r="L10" s="43">
        <f t="shared" si="0"/>
        <v>798</v>
      </c>
      <c r="M10" s="44">
        <v>0</v>
      </c>
      <c r="N10" s="45">
        <f t="shared" si="1"/>
        <v>0</v>
      </c>
      <c r="O10" s="16" t="s">
        <v>3424</v>
      </c>
      <c r="P10" s="46"/>
      <c r="Q10" s="16" t="s">
        <v>3425</v>
      </c>
      <c r="R10" s="17"/>
      <c r="S10" s="59" t="s">
        <v>3422</v>
      </c>
      <c r="T10" s="17" t="s">
        <v>84</v>
      </c>
      <c r="U10" s="46"/>
      <c r="V10" s="17"/>
      <c r="W10" s="58" t="s">
        <v>58</v>
      </c>
      <c r="X10" s="58" t="s">
        <v>58</v>
      </c>
      <c r="Y10" s="76"/>
      <c r="Z10" s="76"/>
      <c r="AA10" s="76"/>
      <c r="AB10" s="76"/>
      <c r="AC10" s="58"/>
      <c r="AF10" s="2">
        <f t="shared" si="8"/>
        <v>0</v>
      </c>
      <c r="AG10" s="2">
        <f t="shared" si="9"/>
        <v>0</v>
      </c>
      <c r="AY10" s="18" t="s">
        <v>3423</v>
      </c>
      <c r="BA10" s="80">
        <f t="shared" ref="BA10:BU10" si="12">$AD10*BA$1</f>
        <v>0</v>
      </c>
      <c r="BB10" s="80">
        <f t="shared" si="12"/>
        <v>0</v>
      </c>
      <c r="BC10" s="80">
        <f t="shared" si="12"/>
        <v>0</v>
      </c>
      <c r="BD10" s="80">
        <f t="shared" si="12"/>
        <v>0</v>
      </c>
      <c r="BE10" s="80">
        <f t="shared" si="12"/>
        <v>0</v>
      </c>
      <c r="BF10" s="80">
        <f t="shared" si="12"/>
        <v>0</v>
      </c>
      <c r="BG10" s="80">
        <f t="shared" si="12"/>
        <v>0</v>
      </c>
      <c r="BH10" s="80">
        <f t="shared" si="12"/>
        <v>0</v>
      </c>
      <c r="BI10" s="80">
        <f t="shared" si="12"/>
        <v>0</v>
      </c>
      <c r="BJ10" s="80">
        <f t="shared" si="12"/>
        <v>0</v>
      </c>
      <c r="BK10" s="80">
        <f t="shared" si="12"/>
        <v>0</v>
      </c>
      <c r="BL10" s="2">
        <f t="shared" si="12"/>
        <v>0</v>
      </c>
      <c r="BM10" s="2">
        <f t="shared" si="12"/>
        <v>0</v>
      </c>
      <c r="BN10" s="2">
        <f t="shared" si="12"/>
        <v>0</v>
      </c>
      <c r="BO10" s="2">
        <f t="shared" si="12"/>
        <v>0</v>
      </c>
      <c r="BP10" s="2">
        <f t="shared" si="12"/>
        <v>0</v>
      </c>
      <c r="BQ10" s="2">
        <f t="shared" si="12"/>
        <v>0</v>
      </c>
      <c r="BR10" s="2">
        <f t="shared" si="12"/>
        <v>0</v>
      </c>
      <c r="BS10" s="2">
        <f t="shared" si="12"/>
        <v>0</v>
      </c>
      <c r="BT10" s="2">
        <f t="shared" si="12"/>
        <v>0</v>
      </c>
      <c r="BU10" s="2">
        <f t="shared" si="12"/>
        <v>0</v>
      </c>
    </row>
    <row r="11" s="2" customFormat="1" ht="19" customHeight="1" spans="1:73">
      <c r="A11" s="15">
        <v>44412</v>
      </c>
      <c r="B11" s="18" t="s">
        <v>1186</v>
      </c>
      <c r="C11" s="17"/>
      <c r="D11" s="2">
        <v>4500058641</v>
      </c>
      <c r="E11" s="16" t="s">
        <v>3417</v>
      </c>
      <c r="F11" s="17" t="s">
        <v>3418</v>
      </c>
      <c r="G11" s="17"/>
      <c r="H11" s="16" t="s">
        <v>3419</v>
      </c>
      <c r="I11" s="17">
        <v>6816</v>
      </c>
      <c r="J11" s="17">
        <v>0</v>
      </c>
      <c r="K11" s="17">
        <v>8</v>
      </c>
      <c r="L11" s="43">
        <f t="shared" si="0"/>
        <v>852</v>
      </c>
      <c r="M11" s="44">
        <v>0</v>
      </c>
      <c r="N11" s="45">
        <f t="shared" si="1"/>
        <v>0</v>
      </c>
      <c r="O11" s="16" t="s">
        <v>3424</v>
      </c>
      <c r="P11" s="46"/>
      <c r="Q11" s="16" t="s">
        <v>3425</v>
      </c>
      <c r="R11" s="17"/>
      <c r="S11" s="59" t="s">
        <v>3422</v>
      </c>
      <c r="T11" s="17" t="s">
        <v>84</v>
      </c>
      <c r="U11" s="46"/>
      <c r="V11" s="17"/>
      <c r="W11" s="58" t="s">
        <v>58</v>
      </c>
      <c r="X11" s="58" t="s">
        <v>58</v>
      </c>
      <c r="Y11" s="76"/>
      <c r="Z11" s="76"/>
      <c r="AA11" s="76"/>
      <c r="AB11" s="76"/>
      <c r="AC11" s="58"/>
      <c r="AF11" s="2">
        <f t="shared" si="8"/>
        <v>0</v>
      </c>
      <c r="AG11" s="2">
        <f t="shared" si="9"/>
        <v>0</v>
      </c>
      <c r="AY11" s="18" t="s">
        <v>3423</v>
      </c>
      <c r="BA11" s="80">
        <f t="shared" ref="BA11:BU11" si="13">$AD11*BA$1</f>
        <v>0</v>
      </c>
      <c r="BB11" s="80">
        <f t="shared" si="13"/>
        <v>0</v>
      </c>
      <c r="BC11" s="80">
        <f t="shared" si="13"/>
        <v>0</v>
      </c>
      <c r="BD11" s="80">
        <f t="shared" si="13"/>
        <v>0</v>
      </c>
      <c r="BE11" s="80">
        <f t="shared" si="13"/>
        <v>0</v>
      </c>
      <c r="BF11" s="80">
        <f t="shared" si="13"/>
        <v>0</v>
      </c>
      <c r="BG11" s="80">
        <f t="shared" si="13"/>
        <v>0</v>
      </c>
      <c r="BH11" s="80">
        <f t="shared" si="13"/>
        <v>0</v>
      </c>
      <c r="BI11" s="80">
        <f t="shared" si="13"/>
        <v>0</v>
      </c>
      <c r="BJ11" s="80">
        <f t="shared" si="13"/>
        <v>0</v>
      </c>
      <c r="BK11" s="80">
        <f t="shared" si="13"/>
        <v>0</v>
      </c>
      <c r="BL11" s="2">
        <f t="shared" si="13"/>
        <v>0</v>
      </c>
      <c r="BM11" s="2">
        <f t="shared" si="13"/>
        <v>0</v>
      </c>
      <c r="BN11" s="2">
        <f t="shared" si="13"/>
        <v>0</v>
      </c>
      <c r="BO11" s="2">
        <f t="shared" si="13"/>
        <v>0</v>
      </c>
      <c r="BP11" s="2">
        <f t="shared" si="13"/>
        <v>0</v>
      </c>
      <c r="BQ11" s="2">
        <f t="shared" si="13"/>
        <v>0</v>
      </c>
      <c r="BR11" s="2">
        <f t="shared" si="13"/>
        <v>0</v>
      </c>
      <c r="BS11" s="2">
        <f t="shared" si="13"/>
        <v>0</v>
      </c>
      <c r="BT11" s="2">
        <f t="shared" si="13"/>
        <v>0</v>
      </c>
      <c r="BU11" s="2">
        <f t="shared" si="13"/>
        <v>0</v>
      </c>
    </row>
    <row r="12" s="2" customFormat="1" ht="19" customHeight="1" spans="1:73">
      <c r="A12" s="15">
        <v>44412</v>
      </c>
      <c r="B12" s="18" t="s">
        <v>1186</v>
      </c>
      <c r="C12" s="17"/>
      <c r="D12" s="2">
        <v>4500058642</v>
      </c>
      <c r="E12" s="16" t="s">
        <v>3417</v>
      </c>
      <c r="F12" s="17" t="s">
        <v>3418</v>
      </c>
      <c r="G12" s="17"/>
      <c r="H12" s="16" t="s">
        <v>3419</v>
      </c>
      <c r="I12" s="17">
        <v>5200</v>
      </c>
      <c r="J12" s="17">
        <v>0</v>
      </c>
      <c r="K12" s="17">
        <v>8</v>
      </c>
      <c r="L12" s="43">
        <f t="shared" si="0"/>
        <v>650</v>
      </c>
      <c r="M12" s="44">
        <v>0</v>
      </c>
      <c r="N12" s="45">
        <f t="shared" si="1"/>
        <v>0</v>
      </c>
      <c r="O12" s="16" t="s">
        <v>3426</v>
      </c>
      <c r="P12" s="46"/>
      <c r="Q12" s="16" t="s">
        <v>3427</v>
      </c>
      <c r="R12" s="17"/>
      <c r="S12" s="59" t="s">
        <v>3422</v>
      </c>
      <c r="T12" s="17" t="s">
        <v>84</v>
      </c>
      <c r="U12" s="46"/>
      <c r="V12" s="17"/>
      <c r="W12" s="58" t="s">
        <v>58</v>
      </c>
      <c r="X12" s="58" t="s">
        <v>58</v>
      </c>
      <c r="Y12" s="76"/>
      <c r="Z12" s="76"/>
      <c r="AA12" s="76"/>
      <c r="AB12" s="76"/>
      <c r="AC12" s="58"/>
      <c r="AF12" s="2">
        <f t="shared" si="8"/>
        <v>0</v>
      </c>
      <c r="AG12" s="2">
        <f t="shared" si="9"/>
        <v>0</v>
      </c>
      <c r="AY12" s="18" t="s">
        <v>3423</v>
      </c>
      <c r="BA12" s="80">
        <f t="shared" ref="BA12:BU12" si="14">$AD12*BA$1</f>
        <v>0</v>
      </c>
      <c r="BB12" s="80">
        <f t="shared" si="14"/>
        <v>0</v>
      </c>
      <c r="BC12" s="80">
        <f t="shared" si="14"/>
        <v>0</v>
      </c>
      <c r="BD12" s="80">
        <f t="shared" si="14"/>
        <v>0</v>
      </c>
      <c r="BE12" s="80">
        <f t="shared" si="14"/>
        <v>0</v>
      </c>
      <c r="BF12" s="80">
        <f t="shared" si="14"/>
        <v>0</v>
      </c>
      <c r="BG12" s="80">
        <f t="shared" si="14"/>
        <v>0</v>
      </c>
      <c r="BH12" s="80">
        <f t="shared" si="14"/>
        <v>0</v>
      </c>
      <c r="BI12" s="80">
        <f t="shared" si="14"/>
        <v>0</v>
      </c>
      <c r="BJ12" s="80">
        <f t="shared" si="14"/>
        <v>0</v>
      </c>
      <c r="BK12" s="80">
        <f t="shared" si="14"/>
        <v>0</v>
      </c>
      <c r="BL12" s="2">
        <f t="shared" si="14"/>
        <v>0</v>
      </c>
      <c r="BM12" s="2">
        <f t="shared" si="14"/>
        <v>0</v>
      </c>
      <c r="BN12" s="2">
        <f t="shared" si="14"/>
        <v>0</v>
      </c>
      <c r="BO12" s="2">
        <f t="shared" si="14"/>
        <v>0</v>
      </c>
      <c r="BP12" s="2">
        <f t="shared" si="14"/>
        <v>0</v>
      </c>
      <c r="BQ12" s="2">
        <f t="shared" si="14"/>
        <v>0</v>
      </c>
      <c r="BR12" s="2">
        <f t="shared" si="14"/>
        <v>0</v>
      </c>
      <c r="BS12" s="2">
        <f t="shared" si="14"/>
        <v>0</v>
      </c>
      <c r="BT12" s="2">
        <f t="shared" si="14"/>
        <v>0</v>
      </c>
      <c r="BU12" s="2">
        <f t="shared" si="14"/>
        <v>0</v>
      </c>
    </row>
    <row r="13" s="2" customFormat="1" ht="19" customHeight="1" spans="1:73">
      <c r="A13" s="15">
        <v>44412</v>
      </c>
      <c r="B13" s="18" t="s">
        <v>1186</v>
      </c>
      <c r="C13" s="17"/>
      <c r="D13" s="2">
        <v>4500058643</v>
      </c>
      <c r="E13" s="16" t="s">
        <v>3417</v>
      </c>
      <c r="F13" s="17" t="s">
        <v>3418</v>
      </c>
      <c r="G13" s="17"/>
      <c r="H13" s="16" t="s">
        <v>3419</v>
      </c>
      <c r="I13" s="17">
        <v>4224</v>
      </c>
      <c r="J13" s="17">
        <v>0</v>
      </c>
      <c r="K13" s="17">
        <v>8</v>
      </c>
      <c r="L13" s="43">
        <f t="shared" si="0"/>
        <v>528</v>
      </c>
      <c r="M13" s="44">
        <v>0</v>
      </c>
      <c r="N13" s="45">
        <f t="shared" si="1"/>
        <v>0</v>
      </c>
      <c r="O13" s="16" t="s">
        <v>3426</v>
      </c>
      <c r="P13" s="46"/>
      <c r="Q13" s="16" t="s">
        <v>3427</v>
      </c>
      <c r="R13" s="17"/>
      <c r="S13" s="59" t="s">
        <v>3422</v>
      </c>
      <c r="T13" s="17" t="s">
        <v>84</v>
      </c>
      <c r="U13" s="46"/>
      <c r="V13" s="17"/>
      <c r="W13" s="58" t="s">
        <v>58</v>
      </c>
      <c r="X13" s="58" t="s">
        <v>58</v>
      </c>
      <c r="Y13" s="76"/>
      <c r="Z13" s="76"/>
      <c r="AA13" s="76"/>
      <c r="AB13" s="76"/>
      <c r="AC13" s="58"/>
      <c r="AF13" s="2">
        <f t="shared" si="8"/>
        <v>0</v>
      </c>
      <c r="AG13" s="2">
        <f t="shared" si="9"/>
        <v>0</v>
      </c>
      <c r="AY13" s="18" t="s">
        <v>3423</v>
      </c>
      <c r="BA13" s="80">
        <f t="shared" ref="BA13:BU13" si="15">$AD13*BA$1</f>
        <v>0</v>
      </c>
      <c r="BB13" s="80">
        <f t="shared" si="15"/>
        <v>0</v>
      </c>
      <c r="BC13" s="80">
        <f t="shared" si="15"/>
        <v>0</v>
      </c>
      <c r="BD13" s="80">
        <f t="shared" si="15"/>
        <v>0</v>
      </c>
      <c r="BE13" s="80">
        <f t="shared" si="15"/>
        <v>0</v>
      </c>
      <c r="BF13" s="80">
        <f t="shared" si="15"/>
        <v>0</v>
      </c>
      <c r="BG13" s="80">
        <f t="shared" si="15"/>
        <v>0</v>
      </c>
      <c r="BH13" s="80">
        <f t="shared" si="15"/>
        <v>0</v>
      </c>
      <c r="BI13" s="80">
        <f t="shared" si="15"/>
        <v>0</v>
      </c>
      <c r="BJ13" s="80">
        <f t="shared" si="15"/>
        <v>0</v>
      </c>
      <c r="BK13" s="80">
        <f t="shared" si="15"/>
        <v>0</v>
      </c>
      <c r="BL13" s="2">
        <f t="shared" si="15"/>
        <v>0</v>
      </c>
      <c r="BM13" s="2">
        <f t="shared" si="15"/>
        <v>0</v>
      </c>
      <c r="BN13" s="2">
        <f t="shared" si="15"/>
        <v>0</v>
      </c>
      <c r="BO13" s="2">
        <f t="shared" si="15"/>
        <v>0</v>
      </c>
      <c r="BP13" s="2">
        <f t="shared" si="15"/>
        <v>0</v>
      </c>
      <c r="BQ13" s="2">
        <f t="shared" si="15"/>
        <v>0</v>
      </c>
      <c r="BR13" s="2">
        <f t="shared" si="15"/>
        <v>0</v>
      </c>
      <c r="BS13" s="2">
        <f t="shared" si="15"/>
        <v>0</v>
      </c>
      <c r="BT13" s="2">
        <f t="shared" si="15"/>
        <v>0</v>
      </c>
      <c r="BU13" s="2">
        <f t="shared" si="15"/>
        <v>0</v>
      </c>
    </row>
    <row r="14" s="2" customFormat="1" ht="19" customHeight="1" spans="1:74">
      <c r="A14" s="15">
        <v>44476</v>
      </c>
      <c r="B14" s="19" t="s">
        <v>3428</v>
      </c>
      <c r="C14" s="17"/>
      <c r="D14" s="2" t="s">
        <v>3429</v>
      </c>
      <c r="E14" s="16"/>
      <c r="F14" s="17" t="s">
        <v>3430</v>
      </c>
      <c r="G14" s="17"/>
      <c r="H14" s="17" t="s">
        <v>3431</v>
      </c>
      <c r="I14" s="17">
        <v>11560</v>
      </c>
      <c r="J14" s="17">
        <v>0</v>
      </c>
      <c r="K14" s="17">
        <v>680</v>
      </c>
      <c r="L14" s="43">
        <f t="shared" si="0"/>
        <v>17</v>
      </c>
      <c r="M14" s="44">
        <v>0</v>
      </c>
      <c r="N14" s="45">
        <v>0</v>
      </c>
      <c r="O14" s="16" t="s">
        <v>3432</v>
      </c>
      <c r="P14" s="46"/>
      <c r="Q14" s="16" t="s">
        <v>3433</v>
      </c>
      <c r="R14" s="17"/>
      <c r="S14" s="17"/>
      <c r="T14" s="17" t="s">
        <v>3400</v>
      </c>
      <c r="U14" s="46"/>
      <c r="V14" s="17" t="s">
        <v>3434</v>
      </c>
      <c r="W14" s="60" t="s">
        <v>58</v>
      </c>
      <c r="X14" s="60" t="s">
        <v>58</v>
      </c>
      <c r="Y14" s="17"/>
      <c r="Z14" s="17"/>
      <c r="AA14" s="76"/>
      <c r="AB14" s="17"/>
      <c r="AC14" s="60"/>
      <c r="AD14" s="2">
        <f t="shared" ref="AD14:AD35" si="16">I14</f>
        <v>11560</v>
      </c>
      <c r="AF14" s="2">
        <f t="shared" si="8"/>
        <v>11560</v>
      </c>
      <c r="AG14" s="2">
        <f t="shared" si="9"/>
        <v>11560</v>
      </c>
      <c r="AU14" s="2">
        <f t="shared" ref="AU14:AU35" si="17">I14/8</f>
        <v>1445</v>
      </c>
      <c r="AY14" s="81" t="s">
        <v>3435</v>
      </c>
      <c r="BA14" s="80"/>
      <c r="BB14" s="80"/>
      <c r="BC14" s="80"/>
      <c r="BD14" s="80"/>
      <c r="BE14" s="80"/>
      <c r="BF14" s="80"/>
      <c r="BG14" s="80"/>
      <c r="BH14" s="80"/>
      <c r="BI14" s="80"/>
      <c r="BJ14" s="80"/>
      <c r="BK14" s="80"/>
      <c r="BL14" s="80"/>
      <c r="BM14" s="80"/>
      <c r="BN14" s="80"/>
      <c r="BO14" s="80"/>
      <c r="BP14" s="80"/>
      <c r="BQ14" s="80"/>
      <c r="BR14" s="80"/>
      <c r="BS14" s="80"/>
      <c r="BT14" s="80"/>
      <c r="BU14" s="80"/>
      <c r="BV14" s="80"/>
    </row>
    <row r="15" s="2" customFormat="1" ht="19" customHeight="1" spans="1:74">
      <c r="A15" s="15">
        <v>44476</v>
      </c>
      <c r="B15" s="19" t="s">
        <v>3428</v>
      </c>
      <c r="C15" s="17"/>
      <c r="D15" s="2" t="s">
        <v>3429</v>
      </c>
      <c r="E15" s="16"/>
      <c r="F15" s="17" t="s">
        <v>3430</v>
      </c>
      <c r="G15" s="17"/>
      <c r="H15" s="17" t="s">
        <v>3431</v>
      </c>
      <c r="I15" s="17">
        <v>5440</v>
      </c>
      <c r="J15" s="17">
        <v>0</v>
      </c>
      <c r="K15" s="17">
        <v>680</v>
      </c>
      <c r="L15" s="43">
        <f t="shared" si="0"/>
        <v>8</v>
      </c>
      <c r="M15" s="44">
        <v>0</v>
      </c>
      <c r="N15" s="45">
        <v>0</v>
      </c>
      <c r="O15" s="16" t="s">
        <v>3432</v>
      </c>
      <c r="P15" s="46"/>
      <c r="Q15" s="16" t="s">
        <v>3433</v>
      </c>
      <c r="R15" s="17"/>
      <c r="S15" s="17"/>
      <c r="T15" s="17" t="s">
        <v>3400</v>
      </c>
      <c r="U15" s="46"/>
      <c r="V15" s="17" t="s">
        <v>3434</v>
      </c>
      <c r="W15" s="60" t="s">
        <v>58</v>
      </c>
      <c r="X15" s="60" t="s">
        <v>58</v>
      </c>
      <c r="Y15" s="17"/>
      <c r="Z15" s="17"/>
      <c r="AA15" s="76"/>
      <c r="AB15" s="17"/>
      <c r="AC15" s="60"/>
      <c r="AD15" s="2">
        <f t="shared" si="16"/>
        <v>5440</v>
      </c>
      <c r="AF15" s="2">
        <f t="shared" si="8"/>
        <v>5440</v>
      </c>
      <c r="AG15" s="2">
        <f t="shared" si="9"/>
        <v>5440</v>
      </c>
      <c r="AU15" s="2">
        <f t="shared" si="17"/>
        <v>680</v>
      </c>
      <c r="AY15" s="81" t="s">
        <v>3435</v>
      </c>
      <c r="BA15" s="80"/>
      <c r="BB15" s="80"/>
      <c r="BC15" s="80"/>
      <c r="BD15" s="80"/>
      <c r="BE15" s="80"/>
      <c r="BF15" s="80"/>
      <c r="BG15" s="80"/>
      <c r="BH15" s="80"/>
      <c r="BI15" s="80"/>
      <c r="BJ15" s="80"/>
      <c r="BK15" s="80"/>
      <c r="BL15" s="80"/>
      <c r="BM15" s="80"/>
      <c r="BN15" s="80"/>
      <c r="BO15" s="80"/>
      <c r="BP15" s="80"/>
      <c r="BQ15" s="80"/>
      <c r="BR15" s="80"/>
      <c r="BS15" s="80"/>
      <c r="BT15" s="80"/>
      <c r="BU15" s="80"/>
      <c r="BV15" s="80"/>
    </row>
    <row r="16" s="2" customFormat="1" ht="19" customHeight="1" spans="1:74">
      <c r="A16" s="15">
        <v>44476</v>
      </c>
      <c r="B16" s="19" t="s">
        <v>3428</v>
      </c>
      <c r="C16" s="17"/>
      <c r="D16" s="2" t="s">
        <v>3429</v>
      </c>
      <c r="E16" s="16"/>
      <c r="F16" s="17" t="s">
        <v>3430</v>
      </c>
      <c r="G16" s="17"/>
      <c r="H16" s="17" t="s">
        <v>3431</v>
      </c>
      <c r="I16" s="17">
        <v>5440</v>
      </c>
      <c r="J16" s="17">
        <v>0</v>
      </c>
      <c r="K16" s="17">
        <v>680</v>
      </c>
      <c r="L16" s="43">
        <f t="shared" si="0"/>
        <v>8</v>
      </c>
      <c r="M16" s="44">
        <v>0</v>
      </c>
      <c r="N16" s="45">
        <v>0</v>
      </c>
      <c r="O16" s="16" t="s">
        <v>3432</v>
      </c>
      <c r="P16" s="46"/>
      <c r="Q16" s="16" t="s">
        <v>3433</v>
      </c>
      <c r="R16" s="17"/>
      <c r="S16" s="17"/>
      <c r="T16" s="17" t="s">
        <v>3400</v>
      </c>
      <c r="U16" s="46"/>
      <c r="V16" s="17" t="s">
        <v>3434</v>
      </c>
      <c r="W16" s="60" t="s">
        <v>58</v>
      </c>
      <c r="X16" s="60" t="s">
        <v>58</v>
      </c>
      <c r="Y16" s="17"/>
      <c r="Z16" s="17"/>
      <c r="AA16" s="76"/>
      <c r="AB16" s="17"/>
      <c r="AC16" s="60"/>
      <c r="AD16" s="2">
        <f t="shared" si="16"/>
        <v>5440</v>
      </c>
      <c r="AF16" s="2">
        <f t="shared" si="8"/>
        <v>5440</v>
      </c>
      <c r="AG16" s="2">
        <f t="shared" si="9"/>
        <v>5440</v>
      </c>
      <c r="AU16" s="2">
        <f t="shared" si="17"/>
        <v>680</v>
      </c>
      <c r="AY16" s="81" t="s">
        <v>3435</v>
      </c>
      <c r="BA16" s="80"/>
      <c r="BB16" s="80"/>
      <c r="BC16" s="80"/>
      <c r="BD16" s="80"/>
      <c r="BE16" s="80"/>
      <c r="BF16" s="80"/>
      <c r="BG16" s="80"/>
      <c r="BH16" s="80"/>
      <c r="BI16" s="80"/>
      <c r="BJ16" s="80"/>
      <c r="BK16" s="80"/>
      <c r="BL16" s="80"/>
      <c r="BM16" s="80"/>
      <c r="BN16" s="80"/>
      <c r="BO16" s="80"/>
      <c r="BP16" s="80"/>
      <c r="BQ16" s="80"/>
      <c r="BR16" s="80"/>
      <c r="BS16" s="80"/>
      <c r="BT16" s="80"/>
      <c r="BU16" s="80"/>
      <c r="BV16" s="80"/>
    </row>
    <row r="17" s="2" customFormat="1" ht="19" customHeight="1" spans="1:74">
      <c r="A17" s="15">
        <v>44476</v>
      </c>
      <c r="B17" s="19" t="s">
        <v>3428</v>
      </c>
      <c r="C17" s="17"/>
      <c r="D17" s="2" t="s">
        <v>3429</v>
      </c>
      <c r="E17" s="16"/>
      <c r="F17" s="17" t="s">
        <v>3430</v>
      </c>
      <c r="G17" s="17"/>
      <c r="H17" s="17" t="s">
        <v>3431</v>
      </c>
      <c r="I17" s="17">
        <v>11560</v>
      </c>
      <c r="J17" s="17">
        <v>0</v>
      </c>
      <c r="K17" s="17">
        <v>680</v>
      </c>
      <c r="L17" s="43">
        <f t="shared" si="0"/>
        <v>17</v>
      </c>
      <c r="M17" s="44">
        <v>0</v>
      </c>
      <c r="N17" s="45">
        <v>0</v>
      </c>
      <c r="O17" s="16" t="s">
        <v>3432</v>
      </c>
      <c r="P17" s="46"/>
      <c r="Q17" s="16" t="s">
        <v>3433</v>
      </c>
      <c r="R17" s="17"/>
      <c r="S17" s="17"/>
      <c r="T17" s="17" t="s">
        <v>3400</v>
      </c>
      <c r="U17" s="46"/>
      <c r="V17" s="17" t="s">
        <v>3434</v>
      </c>
      <c r="W17" s="60" t="s">
        <v>58</v>
      </c>
      <c r="X17" s="60" t="s">
        <v>58</v>
      </c>
      <c r="Y17" s="17"/>
      <c r="Z17" s="17"/>
      <c r="AA17" s="76"/>
      <c r="AB17" s="17"/>
      <c r="AC17" s="60"/>
      <c r="AD17" s="2">
        <f t="shared" si="16"/>
        <v>11560</v>
      </c>
      <c r="AF17" s="2">
        <f t="shared" si="8"/>
        <v>11560</v>
      </c>
      <c r="AG17" s="2">
        <f t="shared" si="9"/>
        <v>11560</v>
      </c>
      <c r="AU17" s="2">
        <f t="shared" si="17"/>
        <v>1445</v>
      </c>
      <c r="AY17" s="81" t="s">
        <v>3435</v>
      </c>
      <c r="BA17" s="80"/>
      <c r="BB17" s="80"/>
      <c r="BC17" s="80"/>
      <c r="BD17" s="80"/>
      <c r="BE17" s="80"/>
      <c r="BF17" s="80"/>
      <c r="BG17" s="80"/>
      <c r="BH17" s="80"/>
      <c r="BI17" s="80"/>
      <c r="BJ17" s="80"/>
      <c r="BK17" s="80"/>
      <c r="BL17" s="80"/>
      <c r="BM17" s="80"/>
      <c r="BN17" s="80"/>
      <c r="BO17" s="80"/>
      <c r="BP17" s="80"/>
      <c r="BQ17" s="80"/>
      <c r="BR17" s="80"/>
      <c r="BS17" s="80"/>
      <c r="BT17" s="80"/>
      <c r="BU17" s="80"/>
      <c r="BV17" s="80"/>
    </row>
    <row r="18" s="2" customFormat="1" ht="19" customHeight="1" spans="1:74">
      <c r="A18" s="15">
        <v>44476</v>
      </c>
      <c r="B18" s="19" t="s">
        <v>3428</v>
      </c>
      <c r="C18" s="17"/>
      <c r="D18" s="2" t="s">
        <v>3429</v>
      </c>
      <c r="E18" s="16"/>
      <c r="F18" s="17" t="s">
        <v>3430</v>
      </c>
      <c r="G18" s="17"/>
      <c r="H18" s="17" t="s">
        <v>3431</v>
      </c>
      <c r="I18" s="17">
        <v>5440</v>
      </c>
      <c r="J18" s="17">
        <v>0</v>
      </c>
      <c r="K18" s="17">
        <v>680</v>
      </c>
      <c r="L18" s="43">
        <f t="shared" si="0"/>
        <v>8</v>
      </c>
      <c r="M18" s="44">
        <v>0</v>
      </c>
      <c r="N18" s="45">
        <v>0</v>
      </c>
      <c r="O18" s="16" t="s">
        <v>3432</v>
      </c>
      <c r="P18" s="46"/>
      <c r="Q18" s="16" t="s">
        <v>3433</v>
      </c>
      <c r="R18" s="17"/>
      <c r="S18" s="17"/>
      <c r="T18" s="17" t="s">
        <v>3400</v>
      </c>
      <c r="U18" s="46"/>
      <c r="V18" s="17" t="s">
        <v>3434</v>
      </c>
      <c r="W18" s="60" t="s">
        <v>58</v>
      </c>
      <c r="X18" s="60" t="s">
        <v>58</v>
      </c>
      <c r="Y18" s="17"/>
      <c r="Z18" s="17"/>
      <c r="AA18" s="76"/>
      <c r="AB18" s="17"/>
      <c r="AC18" s="60"/>
      <c r="AD18" s="2">
        <f t="shared" si="16"/>
        <v>5440</v>
      </c>
      <c r="AF18" s="2">
        <f t="shared" si="8"/>
        <v>5440</v>
      </c>
      <c r="AG18" s="2">
        <f t="shared" si="9"/>
        <v>5440</v>
      </c>
      <c r="AU18" s="2">
        <f t="shared" si="17"/>
        <v>680</v>
      </c>
      <c r="AY18" s="81" t="s">
        <v>3435</v>
      </c>
      <c r="BA18" s="80"/>
      <c r="BB18" s="80"/>
      <c r="BC18" s="80"/>
      <c r="BD18" s="80"/>
      <c r="BE18" s="80"/>
      <c r="BF18" s="80"/>
      <c r="BG18" s="80"/>
      <c r="BH18" s="80"/>
      <c r="BI18" s="80"/>
      <c r="BJ18" s="80"/>
      <c r="BK18" s="80"/>
      <c r="BL18" s="80"/>
      <c r="BM18" s="80"/>
      <c r="BN18" s="80"/>
      <c r="BO18" s="80"/>
      <c r="BP18" s="80"/>
      <c r="BQ18" s="80"/>
      <c r="BR18" s="80"/>
      <c r="BS18" s="80"/>
      <c r="BT18" s="80"/>
      <c r="BU18" s="80"/>
      <c r="BV18" s="80"/>
    </row>
    <row r="19" s="2" customFormat="1" ht="19" customHeight="1" spans="1:74">
      <c r="A19" s="15">
        <v>44476</v>
      </c>
      <c r="B19" s="19" t="s">
        <v>3428</v>
      </c>
      <c r="C19" s="17"/>
      <c r="D19" s="2" t="s">
        <v>3429</v>
      </c>
      <c r="E19" s="16"/>
      <c r="F19" s="17" t="s">
        <v>3430</v>
      </c>
      <c r="G19" s="17"/>
      <c r="H19" s="17" t="s">
        <v>3431</v>
      </c>
      <c r="I19" s="17">
        <v>5440</v>
      </c>
      <c r="J19" s="17">
        <v>0</v>
      </c>
      <c r="K19" s="17">
        <v>680</v>
      </c>
      <c r="L19" s="43">
        <f t="shared" si="0"/>
        <v>8</v>
      </c>
      <c r="M19" s="44">
        <v>0</v>
      </c>
      <c r="N19" s="45">
        <v>0</v>
      </c>
      <c r="O19" s="16" t="s">
        <v>3432</v>
      </c>
      <c r="P19" s="46"/>
      <c r="Q19" s="16" t="s">
        <v>3433</v>
      </c>
      <c r="R19" s="17"/>
      <c r="S19" s="17"/>
      <c r="T19" s="17" t="s">
        <v>3400</v>
      </c>
      <c r="U19" s="46"/>
      <c r="V19" s="17" t="s">
        <v>3434</v>
      </c>
      <c r="W19" s="60" t="s">
        <v>58</v>
      </c>
      <c r="X19" s="60" t="s">
        <v>58</v>
      </c>
      <c r="Y19" s="17"/>
      <c r="Z19" s="17"/>
      <c r="AA19" s="76"/>
      <c r="AB19" s="17"/>
      <c r="AC19" s="60"/>
      <c r="AD19" s="2">
        <f t="shared" si="16"/>
        <v>5440</v>
      </c>
      <c r="AF19" s="2">
        <f t="shared" si="8"/>
        <v>5440</v>
      </c>
      <c r="AG19" s="2">
        <f t="shared" si="9"/>
        <v>5440</v>
      </c>
      <c r="AU19" s="2">
        <f t="shared" si="17"/>
        <v>680</v>
      </c>
      <c r="AY19" s="81" t="s">
        <v>3435</v>
      </c>
      <c r="BA19" s="80"/>
      <c r="BB19" s="80"/>
      <c r="BC19" s="80"/>
      <c r="BD19" s="80"/>
      <c r="BE19" s="80"/>
      <c r="BF19" s="80"/>
      <c r="BG19" s="80"/>
      <c r="BH19" s="80"/>
      <c r="BI19" s="80"/>
      <c r="BJ19" s="80"/>
      <c r="BK19" s="80"/>
      <c r="BL19" s="80"/>
      <c r="BM19" s="80"/>
      <c r="BN19" s="80"/>
      <c r="BO19" s="80"/>
      <c r="BP19" s="80"/>
      <c r="BQ19" s="80"/>
      <c r="BR19" s="80"/>
      <c r="BS19" s="80"/>
      <c r="BT19" s="80"/>
      <c r="BU19" s="80"/>
      <c r="BV19" s="80"/>
    </row>
    <row r="20" s="2" customFormat="1" ht="19" customHeight="1" spans="1:74">
      <c r="A20" s="15">
        <v>44476</v>
      </c>
      <c r="B20" s="19" t="s">
        <v>3428</v>
      </c>
      <c r="C20" s="17"/>
      <c r="D20" s="2" t="s">
        <v>3429</v>
      </c>
      <c r="E20" s="16"/>
      <c r="F20" s="17" t="s">
        <v>3430</v>
      </c>
      <c r="G20" s="17"/>
      <c r="H20" s="17" t="s">
        <v>3431</v>
      </c>
      <c r="I20" s="17">
        <v>7480</v>
      </c>
      <c r="J20" s="17">
        <v>0</v>
      </c>
      <c r="K20" s="17">
        <v>680</v>
      </c>
      <c r="L20" s="43">
        <f t="shared" si="0"/>
        <v>11</v>
      </c>
      <c r="M20" s="44">
        <v>0</v>
      </c>
      <c r="N20" s="45">
        <v>0</v>
      </c>
      <c r="O20" s="16" t="s">
        <v>3432</v>
      </c>
      <c r="P20" s="46"/>
      <c r="Q20" s="16" t="s">
        <v>3433</v>
      </c>
      <c r="R20" s="17"/>
      <c r="S20" s="17"/>
      <c r="T20" s="17" t="s">
        <v>3400</v>
      </c>
      <c r="U20" s="46"/>
      <c r="V20" s="17" t="s">
        <v>3434</v>
      </c>
      <c r="W20" s="60" t="s">
        <v>58</v>
      </c>
      <c r="X20" s="60" t="s">
        <v>58</v>
      </c>
      <c r="Y20" s="17"/>
      <c r="Z20" s="17"/>
      <c r="AA20" s="76"/>
      <c r="AB20" s="17"/>
      <c r="AC20" s="60"/>
      <c r="AD20" s="2">
        <f t="shared" si="16"/>
        <v>7480</v>
      </c>
      <c r="AF20" s="2">
        <f t="shared" si="8"/>
        <v>7480</v>
      </c>
      <c r="AG20" s="2">
        <f t="shared" si="9"/>
        <v>7480</v>
      </c>
      <c r="AU20" s="2">
        <f t="shared" si="17"/>
        <v>935</v>
      </c>
      <c r="AY20" s="81" t="s">
        <v>3435</v>
      </c>
      <c r="BA20" s="80"/>
      <c r="BB20" s="80"/>
      <c r="BC20" s="80"/>
      <c r="BD20" s="80"/>
      <c r="BE20" s="80"/>
      <c r="BF20" s="80"/>
      <c r="BG20" s="80"/>
      <c r="BH20" s="80"/>
      <c r="BI20" s="80"/>
      <c r="BJ20" s="80"/>
      <c r="BK20" s="80"/>
      <c r="BL20" s="80"/>
      <c r="BM20" s="80"/>
      <c r="BN20" s="80"/>
      <c r="BO20" s="80"/>
      <c r="BP20" s="80"/>
      <c r="BQ20" s="80"/>
      <c r="BR20" s="80"/>
      <c r="BS20" s="80"/>
      <c r="BT20" s="80"/>
      <c r="BU20" s="80"/>
      <c r="BV20" s="80"/>
    </row>
    <row r="21" s="2" customFormat="1" ht="19" customHeight="1" spans="1:74">
      <c r="A21" s="15">
        <v>44476</v>
      </c>
      <c r="B21" s="19" t="s">
        <v>3428</v>
      </c>
      <c r="C21" s="17"/>
      <c r="D21" s="2" t="s">
        <v>3429</v>
      </c>
      <c r="E21" s="16"/>
      <c r="F21" s="17" t="s">
        <v>3430</v>
      </c>
      <c r="G21" s="17"/>
      <c r="H21" s="17" t="s">
        <v>3431</v>
      </c>
      <c r="I21" s="17">
        <v>13600</v>
      </c>
      <c r="J21" s="17">
        <v>0</v>
      </c>
      <c r="K21" s="17">
        <v>680</v>
      </c>
      <c r="L21" s="43">
        <f t="shared" si="0"/>
        <v>20</v>
      </c>
      <c r="M21" s="44">
        <v>0</v>
      </c>
      <c r="N21" s="45">
        <v>0</v>
      </c>
      <c r="O21" s="16" t="s">
        <v>3432</v>
      </c>
      <c r="P21" s="46"/>
      <c r="Q21" s="16" t="s">
        <v>3433</v>
      </c>
      <c r="R21" s="17"/>
      <c r="S21" s="17"/>
      <c r="T21" s="17" t="s">
        <v>3400</v>
      </c>
      <c r="U21" s="46"/>
      <c r="V21" s="17" t="s">
        <v>3434</v>
      </c>
      <c r="W21" s="60" t="s">
        <v>58</v>
      </c>
      <c r="X21" s="60" t="s">
        <v>58</v>
      </c>
      <c r="Y21" s="17"/>
      <c r="Z21" s="17"/>
      <c r="AA21" s="76"/>
      <c r="AB21" s="17"/>
      <c r="AC21" s="60"/>
      <c r="AD21" s="2">
        <f t="shared" si="16"/>
        <v>13600</v>
      </c>
      <c r="AF21" s="2">
        <f t="shared" si="8"/>
        <v>13600</v>
      </c>
      <c r="AG21" s="2">
        <f t="shared" si="9"/>
        <v>13600</v>
      </c>
      <c r="AU21" s="2">
        <f t="shared" si="17"/>
        <v>1700</v>
      </c>
      <c r="AY21" s="81" t="s">
        <v>3435</v>
      </c>
      <c r="BA21" s="80"/>
      <c r="BB21" s="80"/>
      <c r="BC21" s="80"/>
      <c r="BD21" s="80"/>
      <c r="BE21" s="80"/>
      <c r="BF21" s="80"/>
      <c r="BG21" s="80"/>
      <c r="BH21" s="80"/>
      <c r="BI21" s="80"/>
      <c r="BJ21" s="80"/>
      <c r="BK21" s="80"/>
      <c r="BL21" s="80"/>
      <c r="BM21" s="80"/>
      <c r="BN21" s="80"/>
      <c r="BO21" s="80"/>
      <c r="BP21" s="80"/>
      <c r="BQ21" s="80"/>
      <c r="BR21" s="80"/>
      <c r="BS21" s="80"/>
      <c r="BT21" s="80"/>
      <c r="BU21" s="80"/>
      <c r="BV21" s="80"/>
    </row>
    <row r="22" s="2" customFormat="1" ht="19" customHeight="1" spans="1:74">
      <c r="A22" s="15">
        <v>44476</v>
      </c>
      <c r="B22" s="19" t="s">
        <v>3428</v>
      </c>
      <c r="C22" s="17"/>
      <c r="D22" s="2" t="s">
        <v>3429</v>
      </c>
      <c r="E22" s="16"/>
      <c r="F22" s="17" t="s">
        <v>3430</v>
      </c>
      <c r="G22" s="17"/>
      <c r="H22" s="17" t="s">
        <v>3431</v>
      </c>
      <c r="I22" s="17">
        <v>7480</v>
      </c>
      <c r="J22" s="17">
        <v>0</v>
      </c>
      <c r="K22" s="17">
        <v>680</v>
      </c>
      <c r="L22" s="43">
        <f t="shared" si="0"/>
        <v>11</v>
      </c>
      <c r="M22" s="44">
        <v>0</v>
      </c>
      <c r="N22" s="45">
        <v>0</v>
      </c>
      <c r="O22" s="16" t="s">
        <v>3432</v>
      </c>
      <c r="P22" s="46"/>
      <c r="Q22" s="16" t="s">
        <v>3433</v>
      </c>
      <c r="R22" s="17"/>
      <c r="S22" s="17"/>
      <c r="T22" s="17" t="s">
        <v>3400</v>
      </c>
      <c r="U22" s="46"/>
      <c r="V22" s="17" t="s">
        <v>3434</v>
      </c>
      <c r="W22" s="60" t="s">
        <v>58</v>
      </c>
      <c r="X22" s="60" t="s">
        <v>58</v>
      </c>
      <c r="Y22" s="17"/>
      <c r="Z22" s="17"/>
      <c r="AA22" s="76"/>
      <c r="AB22" s="17"/>
      <c r="AC22" s="60"/>
      <c r="AD22" s="2">
        <f t="shared" si="16"/>
        <v>7480</v>
      </c>
      <c r="AF22" s="2">
        <f t="shared" si="8"/>
        <v>7480</v>
      </c>
      <c r="AG22" s="2">
        <f t="shared" si="9"/>
        <v>7480</v>
      </c>
      <c r="AU22" s="2">
        <f t="shared" si="17"/>
        <v>935</v>
      </c>
      <c r="AY22" s="81" t="s">
        <v>3435</v>
      </c>
      <c r="BA22" s="80"/>
      <c r="BB22" s="80"/>
      <c r="BC22" s="80"/>
      <c r="BD22" s="80"/>
      <c r="BE22" s="80"/>
      <c r="BF22" s="80"/>
      <c r="BG22" s="80"/>
      <c r="BH22" s="80"/>
      <c r="BI22" s="80"/>
      <c r="BJ22" s="80"/>
      <c r="BK22" s="80"/>
      <c r="BL22" s="80"/>
      <c r="BM22" s="80"/>
      <c r="BN22" s="80"/>
      <c r="BO22" s="80"/>
      <c r="BP22" s="80"/>
      <c r="BQ22" s="80"/>
      <c r="BR22" s="80"/>
      <c r="BS22" s="80"/>
      <c r="BT22" s="80"/>
      <c r="BU22" s="80"/>
      <c r="BV22" s="80"/>
    </row>
    <row r="23" s="2" customFormat="1" ht="19" customHeight="1" spans="1:74">
      <c r="A23" s="15">
        <v>44476</v>
      </c>
      <c r="B23" s="19" t="s">
        <v>3428</v>
      </c>
      <c r="C23" s="17"/>
      <c r="D23" s="2" t="s">
        <v>3429</v>
      </c>
      <c r="E23" s="16"/>
      <c r="F23" s="17" t="s">
        <v>3430</v>
      </c>
      <c r="G23" s="17"/>
      <c r="H23" s="17" t="s">
        <v>3431</v>
      </c>
      <c r="I23" s="17">
        <v>7480</v>
      </c>
      <c r="J23" s="17">
        <v>0</v>
      </c>
      <c r="K23" s="17">
        <v>680</v>
      </c>
      <c r="L23" s="43">
        <f t="shared" si="0"/>
        <v>11</v>
      </c>
      <c r="M23" s="44">
        <v>0</v>
      </c>
      <c r="N23" s="45">
        <v>0</v>
      </c>
      <c r="O23" s="16" t="s">
        <v>3432</v>
      </c>
      <c r="P23" s="46"/>
      <c r="Q23" s="16" t="s">
        <v>3433</v>
      </c>
      <c r="R23" s="17"/>
      <c r="S23" s="17"/>
      <c r="T23" s="17" t="s">
        <v>3400</v>
      </c>
      <c r="U23" s="46"/>
      <c r="V23" s="17" t="s">
        <v>3434</v>
      </c>
      <c r="W23" s="60" t="s">
        <v>58</v>
      </c>
      <c r="X23" s="60" t="s">
        <v>58</v>
      </c>
      <c r="Y23" s="17"/>
      <c r="Z23" s="17"/>
      <c r="AA23" s="76"/>
      <c r="AB23" s="17"/>
      <c r="AC23" s="60"/>
      <c r="AD23" s="2">
        <f t="shared" si="16"/>
        <v>7480</v>
      </c>
      <c r="AF23" s="2">
        <f t="shared" si="8"/>
        <v>7480</v>
      </c>
      <c r="AG23" s="2">
        <f t="shared" si="9"/>
        <v>7480</v>
      </c>
      <c r="AU23" s="2">
        <f t="shared" si="17"/>
        <v>935</v>
      </c>
      <c r="AY23" s="81" t="s">
        <v>3435</v>
      </c>
      <c r="BA23" s="80"/>
      <c r="BB23" s="80"/>
      <c r="BC23" s="80"/>
      <c r="BD23" s="80"/>
      <c r="BE23" s="80"/>
      <c r="BF23" s="80"/>
      <c r="BG23" s="80"/>
      <c r="BH23" s="80"/>
      <c r="BI23" s="80"/>
      <c r="BJ23" s="80"/>
      <c r="BK23" s="80"/>
      <c r="BL23" s="80"/>
      <c r="BM23" s="80"/>
      <c r="BN23" s="80"/>
      <c r="BO23" s="80"/>
      <c r="BP23" s="80"/>
      <c r="BQ23" s="80"/>
      <c r="BR23" s="80"/>
      <c r="BS23" s="80"/>
      <c r="BT23" s="80"/>
      <c r="BU23" s="80"/>
      <c r="BV23" s="80"/>
    </row>
    <row r="24" s="2" customFormat="1" ht="19" customHeight="1" spans="1:74">
      <c r="A24" s="15">
        <v>44476</v>
      </c>
      <c r="B24" s="19" t="s">
        <v>3428</v>
      </c>
      <c r="C24" s="17"/>
      <c r="D24" s="2" t="s">
        <v>3429</v>
      </c>
      <c r="E24" s="16"/>
      <c r="F24" s="17" t="s">
        <v>3430</v>
      </c>
      <c r="G24" s="17"/>
      <c r="H24" s="17" t="s">
        <v>3431</v>
      </c>
      <c r="I24" s="17">
        <v>11560</v>
      </c>
      <c r="J24" s="17">
        <v>0</v>
      </c>
      <c r="K24" s="17">
        <v>680</v>
      </c>
      <c r="L24" s="43">
        <f t="shared" si="0"/>
        <v>17</v>
      </c>
      <c r="M24" s="44">
        <v>0</v>
      </c>
      <c r="N24" s="45">
        <v>0</v>
      </c>
      <c r="O24" s="16" t="s">
        <v>3432</v>
      </c>
      <c r="P24" s="46"/>
      <c r="Q24" s="16" t="s">
        <v>3433</v>
      </c>
      <c r="R24" s="17"/>
      <c r="S24" s="17"/>
      <c r="T24" s="17" t="s">
        <v>3400</v>
      </c>
      <c r="U24" s="46"/>
      <c r="V24" s="17" t="s">
        <v>3434</v>
      </c>
      <c r="W24" s="60" t="s">
        <v>58</v>
      </c>
      <c r="X24" s="60" t="s">
        <v>58</v>
      </c>
      <c r="Y24" s="17"/>
      <c r="Z24" s="17"/>
      <c r="AA24" s="76"/>
      <c r="AB24" s="17"/>
      <c r="AC24" s="60"/>
      <c r="AD24" s="2">
        <f t="shared" si="16"/>
        <v>11560</v>
      </c>
      <c r="AF24" s="2">
        <f t="shared" si="8"/>
        <v>11560</v>
      </c>
      <c r="AG24" s="2">
        <f t="shared" si="9"/>
        <v>11560</v>
      </c>
      <c r="AU24" s="2">
        <f t="shared" si="17"/>
        <v>1445</v>
      </c>
      <c r="AY24" s="81" t="s">
        <v>3435</v>
      </c>
      <c r="BA24" s="80"/>
      <c r="BB24" s="80"/>
      <c r="BC24" s="80"/>
      <c r="BD24" s="80"/>
      <c r="BE24" s="80"/>
      <c r="BF24" s="80"/>
      <c r="BG24" s="80"/>
      <c r="BH24" s="80"/>
      <c r="BI24" s="80"/>
      <c r="BJ24" s="80"/>
      <c r="BK24" s="80"/>
      <c r="BL24" s="80"/>
      <c r="BM24" s="80"/>
      <c r="BN24" s="80"/>
      <c r="BO24" s="80"/>
      <c r="BP24" s="80"/>
      <c r="BQ24" s="80"/>
      <c r="BR24" s="80"/>
      <c r="BS24" s="80"/>
      <c r="BT24" s="80"/>
      <c r="BU24" s="80"/>
      <c r="BV24" s="80"/>
    </row>
    <row r="25" s="2" customFormat="1" ht="19" customHeight="1" spans="1:74">
      <c r="A25" s="15">
        <v>44476</v>
      </c>
      <c r="B25" s="19" t="s">
        <v>3428</v>
      </c>
      <c r="C25" s="17"/>
      <c r="D25" s="2" t="s">
        <v>3429</v>
      </c>
      <c r="E25" s="16"/>
      <c r="F25" s="17" t="s">
        <v>3430</v>
      </c>
      <c r="G25" s="17"/>
      <c r="H25" s="17" t="s">
        <v>3431</v>
      </c>
      <c r="I25" s="17">
        <v>13600</v>
      </c>
      <c r="J25" s="17">
        <v>0</v>
      </c>
      <c r="K25" s="17">
        <v>680</v>
      </c>
      <c r="L25" s="43">
        <f t="shared" si="0"/>
        <v>20</v>
      </c>
      <c r="M25" s="44">
        <v>0</v>
      </c>
      <c r="N25" s="45">
        <v>0</v>
      </c>
      <c r="O25" s="16" t="s">
        <v>3432</v>
      </c>
      <c r="P25" s="46"/>
      <c r="Q25" s="16" t="s">
        <v>3433</v>
      </c>
      <c r="R25" s="17"/>
      <c r="S25" s="17"/>
      <c r="T25" s="17" t="s">
        <v>3400</v>
      </c>
      <c r="U25" s="46"/>
      <c r="V25" s="17" t="s">
        <v>3434</v>
      </c>
      <c r="W25" s="60" t="s">
        <v>58</v>
      </c>
      <c r="X25" s="60" t="s">
        <v>58</v>
      </c>
      <c r="Y25" s="17"/>
      <c r="Z25" s="17"/>
      <c r="AA25" s="76"/>
      <c r="AB25" s="17"/>
      <c r="AC25" s="60"/>
      <c r="AD25" s="2">
        <f t="shared" si="16"/>
        <v>13600</v>
      </c>
      <c r="AF25" s="2">
        <f t="shared" si="8"/>
        <v>13600</v>
      </c>
      <c r="AG25" s="2">
        <f t="shared" si="9"/>
        <v>13600</v>
      </c>
      <c r="AU25" s="2">
        <f t="shared" si="17"/>
        <v>1700</v>
      </c>
      <c r="AY25" s="81" t="s">
        <v>3435</v>
      </c>
      <c r="BA25" s="80"/>
      <c r="BB25" s="80"/>
      <c r="BC25" s="80"/>
      <c r="BD25" s="80"/>
      <c r="BE25" s="80"/>
      <c r="BF25" s="80"/>
      <c r="BG25" s="80"/>
      <c r="BH25" s="80"/>
      <c r="BI25" s="80"/>
      <c r="BJ25" s="80"/>
      <c r="BK25" s="80"/>
      <c r="BL25" s="80"/>
      <c r="BM25" s="80"/>
      <c r="BN25" s="80"/>
      <c r="BO25" s="80"/>
      <c r="BP25" s="80"/>
      <c r="BQ25" s="80"/>
      <c r="BR25" s="80"/>
      <c r="BS25" s="80"/>
      <c r="BT25" s="80"/>
      <c r="BU25" s="80"/>
      <c r="BV25" s="80"/>
    </row>
    <row r="26" s="2" customFormat="1" ht="19" customHeight="1" spans="1:74">
      <c r="A26" s="15">
        <v>44476</v>
      </c>
      <c r="B26" s="19" t="s">
        <v>3428</v>
      </c>
      <c r="C26" s="17"/>
      <c r="D26" s="2" t="s">
        <v>3429</v>
      </c>
      <c r="E26" s="16"/>
      <c r="F26" s="17" t="s">
        <v>3430</v>
      </c>
      <c r="G26" s="17"/>
      <c r="H26" s="17" t="s">
        <v>3431</v>
      </c>
      <c r="I26" s="17">
        <v>7480</v>
      </c>
      <c r="J26" s="17">
        <v>0</v>
      </c>
      <c r="K26" s="17">
        <v>680</v>
      </c>
      <c r="L26" s="43">
        <f t="shared" si="0"/>
        <v>11</v>
      </c>
      <c r="M26" s="44">
        <v>0</v>
      </c>
      <c r="N26" s="45">
        <v>0</v>
      </c>
      <c r="O26" s="16" t="s">
        <v>3432</v>
      </c>
      <c r="P26" s="46"/>
      <c r="Q26" s="16" t="s">
        <v>3433</v>
      </c>
      <c r="R26" s="17"/>
      <c r="S26" s="17"/>
      <c r="T26" s="17" t="s">
        <v>3400</v>
      </c>
      <c r="U26" s="46"/>
      <c r="V26" s="17" t="s">
        <v>3434</v>
      </c>
      <c r="W26" s="60" t="s">
        <v>58</v>
      </c>
      <c r="X26" s="60" t="s">
        <v>58</v>
      </c>
      <c r="Y26" s="17"/>
      <c r="Z26" s="17"/>
      <c r="AA26" s="76"/>
      <c r="AB26" s="17"/>
      <c r="AC26" s="60"/>
      <c r="AD26" s="2">
        <f t="shared" si="16"/>
        <v>7480</v>
      </c>
      <c r="AF26" s="2">
        <f t="shared" si="8"/>
        <v>7480</v>
      </c>
      <c r="AG26" s="2">
        <f t="shared" si="9"/>
        <v>7480</v>
      </c>
      <c r="AU26" s="2">
        <f t="shared" si="17"/>
        <v>935</v>
      </c>
      <c r="AY26" s="81" t="s">
        <v>3435</v>
      </c>
      <c r="BA26" s="80"/>
      <c r="BB26" s="80"/>
      <c r="BC26" s="80"/>
      <c r="BD26" s="80"/>
      <c r="BE26" s="80"/>
      <c r="BF26" s="80"/>
      <c r="BG26" s="80"/>
      <c r="BH26" s="80"/>
      <c r="BI26" s="80"/>
      <c r="BJ26" s="80"/>
      <c r="BK26" s="80"/>
      <c r="BL26" s="80"/>
      <c r="BM26" s="80"/>
      <c r="BN26" s="80"/>
      <c r="BO26" s="80"/>
      <c r="BP26" s="80"/>
      <c r="BQ26" s="80"/>
      <c r="BR26" s="80"/>
      <c r="BS26" s="80"/>
      <c r="BT26" s="80"/>
      <c r="BU26" s="80"/>
      <c r="BV26" s="80"/>
    </row>
    <row r="27" s="2" customFormat="1" ht="19" customHeight="1" spans="1:74">
      <c r="A27" s="15">
        <v>44476</v>
      </c>
      <c r="B27" s="19" t="s">
        <v>3428</v>
      </c>
      <c r="C27" s="17"/>
      <c r="D27" s="2" t="s">
        <v>3429</v>
      </c>
      <c r="E27" s="16"/>
      <c r="F27" s="17" t="s">
        <v>3430</v>
      </c>
      <c r="G27" s="17"/>
      <c r="H27" s="17" t="s">
        <v>3431</v>
      </c>
      <c r="I27" s="17">
        <v>7480</v>
      </c>
      <c r="J27" s="17">
        <v>0</v>
      </c>
      <c r="K27" s="17">
        <v>680</v>
      </c>
      <c r="L27" s="43">
        <f t="shared" si="0"/>
        <v>11</v>
      </c>
      <c r="M27" s="44">
        <v>0</v>
      </c>
      <c r="N27" s="45">
        <v>0</v>
      </c>
      <c r="O27" s="16" t="s">
        <v>3432</v>
      </c>
      <c r="P27" s="46"/>
      <c r="Q27" s="16" t="s">
        <v>3433</v>
      </c>
      <c r="R27" s="17"/>
      <c r="S27" s="17"/>
      <c r="T27" s="17" t="s">
        <v>3400</v>
      </c>
      <c r="U27" s="46"/>
      <c r="V27" s="17" t="s">
        <v>3434</v>
      </c>
      <c r="W27" s="60" t="s">
        <v>58</v>
      </c>
      <c r="X27" s="60" t="s">
        <v>58</v>
      </c>
      <c r="Y27" s="17"/>
      <c r="Z27" s="17"/>
      <c r="AA27" s="76"/>
      <c r="AB27" s="17"/>
      <c r="AC27" s="60"/>
      <c r="AD27" s="2">
        <f t="shared" si="16"/>
        <v>7480</v>
      </c>
      <c r="AF27" s="2">
        <f t="shared" si="8"/>
        <v>7480</v>
      </c>
      <c r="AG27" s="2">
        <f t="shared" si="9"/>
        <v>7480</v>
      </c>
      <c r="AU27" s="2">
        <f t="shared" si="17"/>
        <v>935</v>
      </c>
      <c r="AY27" s="81" t="s">
        <v>3435</v>
      </c>
      <c r="BA27" s="80"/>
      <c r="BB27" s="80"/>
      <c r="BC27" s="80"/>
      <c r="BD27" s="80"/>
      <c r="BE27" s="80"/>
      <c r="BF27" s="80"/>
      <c r="BG27" s="80"/>
      <c r="BH27" s="80"/>
      <c r="BI27" s="80"/>
      <c r="BJ27" s="80"/>
      <c r="BK27" s="80"/>
      <c r="BL27" s="80"/>
      <c r="BM27" s="80"/>
      <c r="BN27" s="80"/>
      <c r="BO27" s="80"/>
      <c r="BP27" s="80"/>
      <c r="BQ27" s="80"/>
      <c r="BR27" s="80"/>
      <c r="BS27" s="80"/>
      <c r="BT27" s="80"/>
      <c r="BU27" s="80"/>
      <c r="BV27" s="80"/>
    </row>
    <row r="28" s="2" customFormat="1" ht="19" customHeight="1" spans="1:74">
      <c r="A28" s="15">
        <v>44476</v>
      </c>
      <c r="B28" s="19" t="s">
        <v>3428</v>
      </c>
      <c r="C28" s="17"/>
      <c r="D28" s="2" t="s">
        <v>3429</v>
      </c>
      <c r="E28" s="16"/>
      <c r="F28" s="17" t="s">
        <v>3430</v>
      </c>
      <c r="G28" s="17"/>
      <c r="H28" s="17" t="s">
        <v>3431</v>
      </c>
      <c r="I28" s="17">
        <v>7480</v>
      </c>
      <c r="J28" s="17">
        <v>0</v>
      </c>
      <c r="K28" s="17">
        <v>680</v>
      </c>
      <c r="L28" s="43">
        <f t="shared" si="0"/>
        <v>11</v>
      </c>
      <c r="M28" s="44">
        <v>0</v>
      </c>
      <c r="N28" s="45">
        <v>0</v>
      </c>
      <c r="O28" s="16" t="s">
        <v>3432</v>
      </c>
      <c r="P28" s="46"/>
      <c r="Q28" s="16" t="s">
        <v>3433</v>
      </c>
      <c r="R28" s="17"/>
      <c r="S28" s="17"/>
      <c r="T28" s="17" t="s">
        <v>3400</v>
      </c>
      <c r="U28" s="46"/>
      <c r="V28" s="17" t="s">
        <v>3434</v>
      </c>
      <c r="W28" s="60" t="s">
        <v>58</v>
      </c>
      <c r="X28" s="60" t="s">
        <v>58</v>
      </c>
      <c r="Y28" s="17"/>
      <c r="Z28" s="17"/>
      <c r="AA28" s="76"/>
      <c r="AB28" s="17"/>
      <c r="AC28" s="60"/>
      <c r="AD28" s="2">
        <f t="shared" si="16"/>
        <v>7480</v>
      </c>
      <c r="AF28" s="2">
        <f t="shared" si="8"/>
        <v>7480</v>
      </c>
      <c r="AG28" s="2">
        <f t="shared" si="9"/>
        <v>7480</v>
      </c>
      <c r="AU28" s="2">
        <f t="shared" si="17"/>
        <v>935</v>
      </c>
      <c r="AY28" s="81" t="s">
        <v>3435</v>
      </c>
      <c r="BA28" s="80"/>
      <c r="BB28" s="80"/>
      <c r="BC28" s="80"/>
      <c r="BD28" s="80"/>
      <c r="BE28" s="80"/>
      <c r="BF28" s="80"/>
      <c r="BG28" s="80"/>
      <c r="BH28" s="80"/>
      <c r="BI28" s="80"/>
      <c r="BJ28" s="80"/>
      <c r="BK28" s="80"/>
      <c r="BL28" s="80"/>
      <c r="BM28" s="80"/>
      <c r="BN28" s="80"/>
      <c r="BO28" s="80"/>
      <c r="BP28" s="80"/>
      <c r="BQ28" s="80"/>
      <c r="BR28" s="80"/>
      <c r="BS28" s="80"/>
      <c r="BT28" s="80"/>
      <c r="BU28" s="80"/>
      <c r="BV28" s="80"/>
    </row>
    <row r="29" s="2" customFormat="1" ht="19" customHeight="1" spans="1:74">
      <c r="A29" s="15">
        <v>44476</v>
      </c>
      <c r="B29" s="19" t="s">
        <v>3428</v>
      </c>
      <c r="C29" s="17"/>
      <c r="D29" s="2" t="s">
        <v>3429</v>
      </c>
      <c r="E29" s="16"/>
      <c r="F29" s="17" t="s">
        <v>3430</v>
      </c>
      <c r="G29" s="17"/>
      <c r="H29" s="17" t="s">
        <v>3431</v>
      </c>
      <c r="I29" s="17">
        <v>5440</v>
      </c>
      <c r="J29" s="17">
        <v>0</v>
      </c>
      <c r="K29" s="17">
        <v>680</v>
      </c>
      <c r="L29" s="43">
        <f t="shared" si="0"/>
        <v>8</v>
      </c>
      <c r="M29" s="44">
        <v>0</v>
      </c>
      <c r="N29" s="45">
        <v>0</v>
      </c>
      <c r="O29" s="16" t="s">
        <v>3432</v>
      </c>
      <c r="P29" s="46"/>
      <c r="Q29" s="16" t="s">
        <v>3433</v>
      </c>
      <c r="R29" s="17"/>
      <c r="S29" s="17"/>
      <c r="T29" s="17" t="s">
        <v>3400</v>
      </c>
      <c r="U29" s="46"/>
      <c r="V29" s="17" t="s">
        <v>3434</v>
      </c>
      <c r="W29" s="60" t="s">
        <v>58</v>
      </c>
      <c r="X29" s="60" t="s">
        <v>58</v>
      </c>
      <c r="Y29" s="17"/>
      <c r="Z29" s="17"/>
      <c r="AA29" s="76"/>
      <c r="AB29" s="17"/>
      <c r="AC29" s="60"/>
      <c r="AD29" s="2">
        <f t="shared" si="16"/>
        <v>5440</v>
      </c>
      <c r="AF29" s="2">
        <f t="shared" si="8"/>
        <v>5440</v>
      </c>
      <c r="AG29" s="2">
        <f t="shared" si="9"/>
        <v>5440</v>
      </c>
      <c r="AU29" s="2">
        <f t="shared" si="17"/>
        <v>680</v>
      </c>
      <c r="AY29" s="81" t="s">
        <v>3435</v>
      </c>
      <c r="BA29" s="80"/>
      <c r="BB29" s="80"/>
      <c r="BC29" s="80"/>
      <c r="BD29" s="80"/>
      <c r="BE29" s="80"/>
      <c r="BF29" s="80"/>
      <c r="BG29" s="80"/>
      <c r="BH29" s="80"/>
      <c r="BI29" s="80"/>
      <c r="BJ29" s="80"/>
      <c r="BK29" s="80"/>
      <c r="BL29" s="80"/>
      <c r="BM29" s="80"/>
      <c r="BN29" s="80"/>
      <c r="BO29" s="80"/>
      <c r="BP29" s="80"/>
      <c r="BQ29" s="80"/>
      <c r="BR29" s="80"/>
      <c r="BS29" s="80"/>
      <c r="BT29" s="80"/>
      <c r="BU29" s="80"/>
      <c r="BV29" s="80"/>
    </row>
    <row r="30" s="2" customFormat="1" ht="19" customHeight="1" spans="1:74">
      <c r="A30" s="15">
        <v>44476</v>
      </c>
      <c r="B30" s="19" t="s">
        <v>3428</v>
      </c>
      <c r="C30" s="17"/>
      <c r="D30" s="2" t="s">
        <v>3429</v>
      </c>
      <c r="E30" s="16"/>
      <c r="F30" s="17" t="s">
        <v>3430</v>
      </c>
      <c r="G30" s="17"/>
      <c r="H30" s="17" t="s">
        <v>3431</v>
      </c>
      <c r="I30" s="17">
        <v>5440</v>
      </c>
      <c r="J30" s="17">
        <v>0</v>
      </c>
      <c r="K30" s="17">
        <v>680</v>
      </c>
      <c r="L30" s="43">
        <f t="shared" si="0"/>
        <v>8</v>
      </c>
      <c r="M30" s="44">
        <v>0</v>
      </c>
      <c r="N30" s="45">
        <v>0</v>
      </c>
      <c r="O30" s="16" t="s">
        <v>3432</v>
      </c>
      <c r="P30" s="46"/>
      <c r="Q30" s="16" t="s">
        <v>3433</v>
      </c>
      <c r="R30" s="17"/>
      <c r="S30" s="17"/>
      <c r="T30" s="17" t="s">
        <v>3400</v>
      </c>
      <c r="U30" s="46"/>
      <c r="V30" s="17" t="s">
        <v>3434</v>
      </c>
      <c r="W30" s="60" t="s">
        <v>58</v>
      </c>
      <c r="X30" s="60" t="s">
        <v>58</v>
      </c>
      <c r="Y30" s="17"/>
      <c r="Z30" s="17"/>
      <c r="AA30" s="76"/>
      <c r="AB30" s="17"/>
      <c r="AC30" s="60"/>
      <c r="AD30" s="2">
        <f t="shared" si="16"/>
        <v>5440</v>
      </c>
      <c r="AF30" s="2">
        <f t="shared" si="8"/>
        <v>5440</v>
      </c>
      <c r="AG30" s="2">
        <f t="shared" si="9"/>
        <v>5440</v>
      </c>
      <c r="AU30" s="2">
        <f t="shared" si="17"/>
        <v>680</v>
      </c>
      <c r="AY30" s="81" t="s">
        <v>3435</v>
      </c>
      <c r="BA30" s="80"/>
      <c r="BB30" s="80"/>
      <c r="BC30" s="80"/>
      <c r="BD30" s="80"/>
      <c r="BE30" s="80"/>
      <c r="BF30" s="80"/>
      <c r="BG30" s="80"/>
      <c r="BH30" s="80"/>
      <c r="BI30" s="80"/>
      <c r="BJ30" s="80"/>
      <c r="BK30" s="80"/>
      <c r="BL30" s="80"/>
      <c r="BM30" s="80"/>
      <c r="BN30" s="80"/>
      <c r="BO30" s="80"/>
      <c r="BP30" s="80"/>
      <c r="BQ30" s="80"/>
      <c r="BR30" s="80"/>
      <c r="BS30" s="80"/>
      <c r="BT30" s="80"/>
      <c r="BU30" s="80"/>
      <c r="BV30" s="80"/>
    </row>
    <row r="31" s="2" customFormat="1" ht="19" customHeight="1" spans="1:74">
      <c r="A31" s="15">
        <v>44476</v>
      </c>
      <c r="B31" s="19" t="s">
        <v>3428</v>
      </c>
      <c r="C31" s="17"/>
      <c r="D31" s="2" t="s">
        <v>3429</v>
      </c>
      <c r="E31" s="16"/>
      <c r="F31" s="17" t="s">
        <v>3430</v>
      </c>
      <c r="G31" s="17"/>
      <c r="H31" s="17" t="s">
        <v>3431</v>
      </c>
      <c r="I31" s="17">
        <v>5440</v>
      </c>
      <c r="J31" s="17">
        <v>0</v>
      </c>
      <c r="K31" s="17">
        <v>680</v>
      </c>
      <c r="L31" s="43">
        <f t="shared" si="0"/>
        <v>8</v>
      </c>
      <c r="M31" s="44">
        <v>0</v>
      </c>
      <c r="N31" s="45">
        <v>0</v>
      </c>
      <c r="O31" s="16" t="s">
        <v>3432</v>
      </c>
      <c r="P31" s="46"/>
      <c r="Q31" s="16" t="s">
        <v>3433</v>
      </c>
      <c r="R31" s="17"/>
      <c r="S31" s="17"/>
      <c r="T31" s="17" t="s">
        <v>3400</v>
      </c>
      <c r="U31" s="46"/>
      <c r="V31" s="17" t="s">
        <v>3434</v>
      </c>
      <c r="W31" s="60" t="s">
        <v>58</v>
      </c>
      <c r="X31" s="60" t="s">
        <v>58</v>
      </c>
      <c r="Y31" s="17"/>
      <c r="Z31" s="17"/>
      <c r="AA31" s="76"/>
      <c r="AB31" s="17"/>
      <c r="AC31" s="60"/>
      <c r="AD31" s="2">
        <f t="shared" si="16"/>
        <v>5440</v>
      </c>
      <c r="AF31" s="2">
        <f t="shared" si="8"/>
        <v>5440</v>
      </c>
      <c r="AG31" s="2">
        <f t="shared" si="9"/>
        <v>5440</v>
      </c>
      <c r="AU31" s="2">
        <f t="shared" si="17"/>
        <v>680</v>
      </c>
      <c r="AY31" s="81" t="s">
        <v>3435</v>
      </c>
      <c r="BA31" s="80"/>
      <c r="BB31" s="80"/>
      <c r="BC31" s="80"/>
      <c r="BD31" s="80"/>
      <c r="BE31" s="80"/>
      <c r="BF31" s="80"/>
      <c r="BG31" s="80"/>
      <c r="BH31" s="80"/>
      <c r="BI31" s="80"/>
      <c r="BJ31" s="80"/>
      <c r="BK31" s="80"/>
      <c r="BL31" s="80"/>
      <c r="BM31" s="80"/>
      <c r="BN31" s="80"/>
      <c r="BO31" s="80"/>
      <c r="BP31" s="80"/>
      <c r="BQ31" s="80"/>
      <c r="BR31" s="80"/>
      <c r="BS31" s="80"/>
      <c r="BT31" s="80"/>
      <c r="BU31" s="80"/>
      <c r="BV31" s="80"/>
    </row>
    <row r="32" s="2" customFormat="1" ht="19" customHeight="1" spans="1:74">
      <c r="A32" s="15">
        <v>44476</v>
      </c>
      <c r="B32" s="19" t="s">
        <v>3428</v>
      </c>
      <c r="C32" s="17"/>
      <c r="D32" s="2" t="s">
        <v>3429</v>
      </c>
      <c r="E32" s="16"/>
      <c r="F32" s="17" t="s">
        <v>3430</v>
      </c>
      <c r="G32" s="17"/>
      <c r="H32" s="17" t="s">
        <v>3431</v>
      </c>
      <c r="I32" s="17">
        <v>7480</v>
      </c>
      <c r="J32" s="17">
        <v>0</v>
      </c>
      <c r="K32" s="17">
        <v>680</v>
      </c>
      <c r="L32" s="43">
        <f t="shared" si="0"/>
        <v>11</v>
      </c>
      <c r="M32" s="44">
        <v>0</v>
      </c>
      <c r="N32" s="45">
        <v>0</v>
      </c>
      <c r="O32" s="16" t="s">
        <v>3432</v>
      </c>
      <c r="P32" s="46"/>
      <c r="Q32" s="16" t="s">
        <v>3433</v>
      </c>
      <c r="R32" s="17"/>
      <c r="S32" s="17"/>
      <c r="T32" s="17" t="s">
        <v>3400</v>
      </c>
      <c r="U32" s="46"/>
      <c r="V32" s="17" t="s">
        <v>3434</v>
      </c>
      <c r="W32" s="60" t="s">
        <v>58</v>
      </c>
      <c r="X32" s="60" t="s">
        <v>58</v>
      </c>
      <c r="Y32" s="17"/>
      <c r="Z32" s="17"/>
      <c r="AA32" s="76"/>
      <c r="AB32" s="17"/>
      <c r="AC32" s="60"/>
      <c r="AD32" s="2">
        <f t="shared" si="16"/>
        <v>7480</v>
      </c>
      <c r="AF32" s="2">
        <f t="shared" si="8"/>
        <v>7480</v>
      </c>
      <c r="AG32" s="2">
        <f t="shared" si="9"/>
        <v>7480</v>
      </c>
      <c r="AU32" s="2">
        <f t="shared" si="17"/>
        <v>935</v>
      </c>
      <c r="AY32" s="81" t="s">
        <v>3435</v>
      </c>
      <c r="BA32" s="80"/>
      <c r="BB32" s="80"/>
      <c r="BC32" s="80"/>
      <c r="BD32" s="80"/>
      <c r="BE32" s="80"/>
      <c r="BF32" s="80"/>
      <c r="BG32" s="80"/>
      <c r="BH32" s="80"/>
      <c r="BI32" s="80"/>
      <c r="BJ32" s="80"/>
      <c r="BK32" s="80"/>
      <c r="BL32" s="80"/>
      <c r="BM32" s="80"/>
      <c r="BN32" s="80"/>
      <c r="BO32" s="80"/>
      <c r="BP32" s="80"/>
      <c r="BQ32" s="80"/>
      <c r="BR32" s="80"/>
      <c r="BS32" s="80"/>
      <c r="BT32" s="80"/>
      <c r="BU32" s="80"/>
      <c r="BV32" s="80"/>
    </row>
    <row r="33" s="2" customFormat="1" ht="19" customHeight="1" spans="1:74">
      <c r="A33" s="15">
        <v>44476</v>
      </c>
      <c r="B33" s="19" t="s">
        <v>3428</v>
      </c>
      <c r="C33" s="17"/>
      <c r="D33" s="2" t="s">
        <v>3429</v>
      </c>
      <c r="E33" s="16"/>
      <c r="F33" s="17" t="s">
        <v>3430</v>
      </c>
      <c r="G33" s="17"/>
      <c r="H33" s="17" t="s">
        <v>3431</v>
      </c>
      <c r="I33" s="17">
        <v>5440</v>
      </c>
      <c r="J33" s="17">
        <v>0</v>
      </c>
      <c r="K33" s="17">
        <v>680</v>
      </c>
      <c r="L33" s="43">
        <f t="shared" si="0"/>
        <v>8</v>
      </c>
      <c r="M33" s="44">
        <v>0</v>
      </c>
      <c r="N33" s="45">
        <v>0</v>
      </c>
      <c r="O33" s="16" t="s">
        <v>3432</v>
      </c>
      <c r="P33" s="46"/>
      <c r="Q33" s="16" t="s">
        <v>3433</v>
      </c>
      <c r="R33" s="17"/>
      <c r="S33" s="17"/>
      <c r="T33" s="17" t="s">
        <v>3400</v>
      </c>
      <c r="U33" s="46"/>
      <c r="V33" s="17" t="s">
        <v>3434</v>
      </c>
      <c r="W33" s="60" t="s">
        <v>58</v>
      </c>
      <c r="X33" s="60" t="s">
        <v>58</v>
      </c>
      <c r="Y33" s="17"/>
      <c r="Z33" s="17"/>
      <c r="AA33" s="76"/>
      <c r="AB33" s="17"/>
      <c r="AC33" s="60"/>
      <c r="AD33" s="2">
        <f t="shared" si="16"/>
        <v>5440</v>
      </c>
      <c r="AF33" s="2">
        <f t="shared" si="8"/>
        <v>5440</v>
      </c>
      <c r="AG33" s="2">
        <f t="shared" si="9"/>
        <v>5440</v>
      </c>
      <c r="AU33" s="2">
        <f t="shared" si="17"/>
        <v>680</v>
      </c>
      <c r="AY33" s="81" t="s">
        <v>3435</v>
      </c>
      <c r="BA33" s="80"/>
      <c r="BB33" s="80"/>
      <c r="BC33" s="80"/>
      <c r="BD33" s="80"/>
      <c r="BE33" s="80"/>
      <c r="BF33" s="80"/>
      <c r="BG33" s="80"/>
      <c r="BH33" s="80"/>
      <c r="BI33" s="80"/>
      <c r="BJ33" s="80"/>
      <c r="BK33" s="80"/>
      <c r="BL33" s="80"/>
      <c r="BM33" s="80"/>
      <c r="BN33" s="80"/>
      <c r="BO33" s="80"/>
      <c r="BP33" s="80"/>
      <c r="BQ33" s="80"/>
      <c r="BR33" s="80"/>
      <c r="BS33" s="80"/>
      <c r="BT33" s="80"/>
      <c r="BU33" s="80"/>
      <c r="BV33" s="80"/>
    </row>
    <row r="34" s="2" customFormat="1" ht="19" customHeight="1" spans="1:74">
      <c r="A34" s="15">
        <v>44476</v>
      </c>
      <c r="B34" s="19" t="s">
        <v>3428</v>
      </c>
      <c r="C34" s="17"/>
      <c r="D34" s="2" t="s">
        <v>3429</v>
      </c>
      <c r="E34" s="16"/>
      <c r="F34" s="17" t="s">
        <v>3430</v>
      </c>
      <c r="G34" s="17"/>
      <c r="H34" s="17" t="s">
        <v>3431</v>
      </c>
      <c r="I34" s="17">
        <v>5440</v>
      </c>
      <c r="J34" s="17">
        <v>0</v>
      </c>
      <c r="K34" s="17">
        <v>680</v>
      </c>
      <c r="L34" s="43">
        <f t="shared" si="0"/>
        <v>8</v>
      </c>
      <c r="M34" s="44">
        <v>0</v>
      </c>
      <c r="N34" s="45">
        <v>0</v>
      </c>
      <c r="O34" s="16" t="s">
        <v>3432</v>
      </c>
      <c r="P34" s="46"/>
      <c r="Q34" s="16" t="s">
        <v>3433</v>
      </c>
      <c r="R34" s="17"/>
      <c r="S34" s="17"/>
      <c r="T34" s="17" t="s">
        <v>3400</v>
      </c>
      <c r="U34" s="46"/>
      <c r="V34" s="17" t="s">
        <v>3434</v>
      </c>
      <c r="W34" s="60" t="s">
        <v>58</v>
      </c>
      <c r="X34" s="60" t="s">
        <v>58</v>
      </c>
      <c r="Y34" s="17"/>
      <c r="Z34" s="17"/>
      <c r="AA34" s="76"/>
      <c r="AB34" s="17"/>
      <c r="AC34" s="60"/>
      <c r="AD34" s="2">
        <f t="shared" si="16"/>
        <v>5440</v>
      </c>
      <c r="AF34" s="2">
        <f t="shared" si="8"/>
        <v>5440</v>
      </c>
      <c r="AG34" s="2">
        <f t="shared" si="9"/>
        <v>5440</v>
      </c>
      <c r="AU34" s="2">
        <f t="shared" si="17"/>
        <v>680</v>
      </c>
      <c r="AY34" s="81" t="s">
        <v>3435</v>
      </c>
      <c r="BA34" s="80"/>
      <c r="BB34" s="80"/>
      <c r="BC34" s="80"/>
      <c r="BD34" s="80"/>
      <c r="BE34" s="80"/>
      <c r="BF34" s="80"/>
      <c r="BG34" s="80"/>
      <c r="BH34" s="80"/>
      <c r="BI34" s="80"/>
      <c r="BJ34" s="80"/>
      <c r="BK34" s="80"/>
      <c r="BL34" s="80"/>
      <c r="BM34" s="80"/>
      <c r="BN34" s="80"/>
      <c r="BO34" s="80"/>
      <c r="BP34" s="80"/>
      <c r="BQ34" s="80"/>
      <c r="BR34" s="80"/>
      <c r="BS34" s="80"/>
      <c r="BT34" s="80"/>
      <c r="BU34" s="80"/>
      <c r="BV34" s="80"/>
    </row>
    <row r="35" s="2" customFormat="1" ht="19" customHeight="1" spans="1:74">
      <c r="A35" s="15">
        <v>44476</v>
      </c>
      <c r="B35" s="19" t="s">
        <v>3428</v>
      </c>
      <c r="C35" s="17"/>
      <c r="D35" s="2" t="s">
        <v>3429</v>
      </c>
      <c r="E35" s="16"/>
      <c r="F35" s="17" t="s">
        <v>3430</v>
      </c>
      <c r="G35" s="17"/>
      <c r="H35" s="17" t="s">
        <v>3431</v>
      </c>
      <c r="I35" s="17">
        <v>5440</v>
      </c>
      <c r="J35" s="17">
        <v>0</v>
      </c>
      <c r="K35" s="17">
        <v>680</v>
      </c>
      <c r="L35" s="43">
        <f t="shared" si="0"/>
        <v>8</v>
      </c>
      <c r="M35" s="44">
        <v>0</v>
      </c>
      <c r="N35" s="45">
        <v>0</v>
      </c>
      <c r="O35" s="16" t="s">
        <v>3432</v>
      </c>
      <c r="P35" s="46"/>
      <c r="Q35" s="16" t="s">
        <v>3433</v>
      </c>
      <c r="R35" s="17"/>
      <c r="S35" s="17"/>
      <c r="T35" s="17" t="s">
        <v>3400</v>
      </c>
      <c r="U35" s="46"/>
      <c r="V35" s="17" t="s">
        <v>3434</v>
      </c>
      <c r="W35" s="60" t="s">
        <v>58</v>
      </c>
      <c r="X35" s="60" t="s">
        <v>58</v>
      </c>
      <c r="Y35" s="17"/>
      <c r="Z35" s="17"/>
      <c r="AA35" s="76"/>
      <c r="AB35" s="17"/>
      <c r="AC35" s="60"/>
      <c r="AD35" s="2">
        <f t="shared" si="16"/>
        <v>5440</v>
      </c>
      <c r="AF35" s="2">
        <f t="shared" si="8"/>
        <v>5440</v>
      </c>
      <c r="AG35" s="2">
        <f t="shared" si="9"/>
        <v>5440</v>
      </c>
      <c r="AU35" s="2">
        <f t="shared" si="17"/>
        <v>680</v>
      </c>
      <c r="AY35" s="81" t="s">
        <v>3435</v>
      </c>
      <c r="BA35" s="80"/>
      <c r="BB35" s="80"/>
      <c r="BC35" s="80"/>
      <c r="BD35" s="80"/>
      <c r="BE35" s="80"/>
      <c r="BF35" s="80"/>
      <c r="BG35" s="80"/>
      <c r="BH35" s="80"/>
      <c r="BI35" s="80"/>
      <c r="BJ35" s="80"/>
      <c r="BK35" s="80"/>
      <c r="BL35" s="80"/>
      <c r="BM35" s="80"/>
      <c r="BN35" s="80"/>
      <c r="BO35" s="80"/>
      <c r="BP35" s="80"/>
      <c r="BQ35" s="80"/>
      <c r="BR35" s="80"/>
      <c r="BS35" s="80"/>
      <c r="BT35" s="80"/>
      <c r="BU35" s="80"/>
      <c r="BV35" s="80"/>
    </row>
    <row r="36" s="3" customFormat="1" ht="18" customHeight="1" spans="1:81">
      <c r="A36" s="20">
        <v>44561</v>
      </c>
      <c r="B36" s="21" t="s">
        <v>1373</v>
      </c>
      <c r="C36" s="22" t="s">
        <v>1374</v>
      </c>
      <c r="D36" s="3">
        <v>4500068792</v>
      </c>
      <c r="E36" s="22"/>
      <c r="F36" s="23" t="s">
        <v>3436</v>
      </c>
      <c r="G36" s="23"/>
      <c r="H36" s="22" t="s">
        <v>3437</v>
      </c>
      <c r="I36" s="22">
        <v>2160</v>
      </c>
      <c r="J36" s="22">
        <v>0</v>
      </c>
      <c r="K36" s="22">
        <v>36</v>
      </c>
      <c r="L36" s="47">
        <f t="shared" si="0"/>
        <v>60</v>
      </c>
      <c r="M36" s="23" t="s">
        <v>3438</v>
      </c>
      <c r="N36" s="23" t="s">
        <v>3439</v>
      </c>
      <c r="O36" s="48"/>
      <c r="P36" s="48"/>
      <c r="Q36" s="22"/>
      <c r="R36" s="61" t="s">
        <v>49</v>
      </c>
      <c r="S36" s="61" t="s">
        <v>49</v>
      </c>
      <c r="T36" s="62" t="s">
        <v>3440</v>
      </c>
      <c r="U36" s="23" t="s">
        <v>3441</v>
      </c>
      <c r="V36" s="63">
        <v>0</v>
      </c>
      <c r="W36" s="64">
        <f>I36*V36</f>
        <v>0</v>
      </c>
      <c r="X36" s="22"/>
      <c r="Y36" s="22"/>
      <c r="Z36" s="22" t="s">
        <v>3434</v>
      </c>
      <c r="AA36" s="22"/>
      <c r="AB36" s="22"/>
      <c r="AC36" s="22"/>
      <c r="AD36" s="22"/>
      <c r="AE36" s="61"/>
      <c r="AF36" s="3">
        <f>I36</f>
        <v>2160</v>
      </c>
      <c r="AJ36" s="3">
        <f>I36</f>
        <v>2160</v>
      </c>
      <c r="AK36" s="3">
        <f>I36</f>
        <v>2160</v>
      </c>
      <c r="AS36" s="3">
        <f>I36/18</f>
        <v>120</v>
      </c>
      <c r="BB36" s="82">
        <f t="shared" ref="BB36:BV36" si="18">$AF36*BB$1</f>
        <v>0</v>
      </c>
      <c r="BC36" s="82">
        <f t="shared" si="18"/>
        <v>0</v>
      </c>
      <c r="BD36" s="82">
        <f t="shared" si="18"/>
        <v>0</v>
      </c>
      <c r="BE36" s="82">
        <f t="shared" si="18"/>
        <v>0</v>
      </c>
      <c r="BF36" s="82">
        <f t="shared" si="18"/>
        <v>0</v>
      </c>
      <c r="BG36" s="82">
        <f t="shared" si="18"/>
        <v>0</v>
      </c>
      <c r="BH36" s="82">
        <f t="shared" si="18"/>
        <v>0</v>
      </c>
      <c r="BI36" s="82">
        <f t="shared" si="18"/>
        <v>0</v>
      </c>
      <c r="BJ36" s="82">
        <f t="shared" si="18"/>
        <v>0</v>
      </c>
      <c r="BK36" s="82">
        <f t="shared" si="18"/>
        <v>0</v>
      </c>
      <c r="BL36" s="82">
        <f t="shared" si="18"/>
        <v>0</v>
      </c>
      <c r="BM36" s="82">
        <f t="shared" si="18"/>
        <v>0</v>
      </c>
      <c r="BN36" s="82">
        <f t="shared" si="18"/>
        <v>0</v>
      </c>
      <c r="BO36" s="82">
        <f t="shared" si="18"/>
        <v>0</v>
      </c>
      <c r="BP36" s="82">
        <f t="shared" si="18"/>
        <v>0</v>
      </c>
      <c r="BQ36" s="82">
        <f t="shared" si="18"/>
        <v>0</v>
      </c>
      <c r="BR36" s="82">
        <f t="shared" si="18"/>
        <v>0</v>
      </c>
      <c r="BS36" s="82">
        <f t="shared" si="18"/>
        <v>0</v>
      </c>
      <c r="BT36" s="82">
        <f t="shared" si="18"/>
        <v>0</v>
      </c>
      <c r="BU36" s="82">
        <f t="shared" si="18"/>
        <v>0</v>
      </c>
      <c r="BV36" s="82">
        <f t="shared" si="18"/>
        <v>0</v>
      </c>
      <c r="BW36" s="82"/>
      <c r="BZ36" s="3">
        <f>AO36+AP36</f>
        <v>0</v>
      </c>
      <c r="CC36" s="3">
        <f>AS36+AT36+AU36+AV36</f>
        <v>120</v>
      </c>
    </row>
    <row r="37" s="3" customFormat="1" ht="18" customHeight="1" spans="1:81">
      <c r="A37" s="20">
        <v>44565</v>
      </c>
      <c r="B37" s="21" t="s">
        <v>1373</v>
      </c>
      <c r="C37" s="22" t="s">
        <v>1374</v>
      </c>
      <c r="D37" s="3">
        <v>4500068792</v>
      </c>
      <c r="E37" s="22"/>
      <c r="F37" s="23" t="s">
        <v>3436</v>
      </c>
      <c r="G37" s="23"/>
      <c r="H37" s="22" t="s">
        <v>3437</v>
      </c>
      <c r="I37" s="22">
        <v>144</v>
      </c>
      <c r="J37" s="22">
        <v>0</v>
      </c>
      <c r="K37" s="22">
        <v>36</v>
      </c>
      <c r="L37" s="47">
        <f t="shared" si="0"/>
        <v>4</v>
      </c>
      <c r="M37" s="23" t="s">
        <v>3438</v>
      </c>
      <c r="N37" s="23" t="s">
        <v>3439</v>
      </c>
      <c r="O37" s="48"/>
      <c r="P37" s="48"/>
      <c r="Q37" s="22"/>
      <c r="R37" s="61" t="s">
        <v>49</v>
      </c>
      <c r="S37" s="61" t="s">
        <v>49</v>
      </c>
      <c r="T37" s="65"/>
      <c r="U37" s="23" t="s">
        <v>3441</v>
      </c>
      <c r="V37" s="63">
        <v>0</v>
      </c>
      <c r="W37" s="64">
        <f>I37*V37</f>
        <v>0</v>
      </c>
      <c r="X37" s="22"/>
      <c r="Y37" s="22"/>
      <c r="Z37" s="22" t="s">
        <v>3434</v>
      </c>
      <c r="AA37" s="22"/>
      <c r="AB37" s="22"/>
      <c r="AC37" s="22"/>
      <c r="AD37" s="22"/>
      <c r="AE37" s="61"/>
      <c r="AF37" s="3">
        <f>I37</f>
        <v>144</v>
      </c>
      <c r="AJ37" s="3">
        <f>I37</f>
        <v>144</v>
      </c>
      <c r="AK37" s="3">
        <f>I37</f>
        <v>144</v>
      </c>
      <c r="AS37" s="3">
        <f>I37/18</f>
        <v>8</v>
      </c>
      <c r="BB37" s="82">
        <f t="shared" ref="BB37:BV37" si="19">$AF37*BB$1</f>
        <v>0</v>
      </c>
      <c r="BC37" s="82">
        <f t="shared" si="19"/>
        <v>0</v>
      </c>
      <c r="BD37" s="82">
        <f t="shared" si="19"/>
        <v>0</v>
      </c>
      <c r="BE37" s="82">
        <f t="shared" si="19"/>
        <v>0</v>
      </c>
      <c r="BF37" s="82">
        <f t="shared" si="19"/>
        <v>0</v>
      </c>
      <c r="BG37" s="82">
        <f t="shared" si="19"/>
        <v>0</v>
      </c>
      <c r="BH37" s="82">
        <f t="shared" si="19"/>
        <v>0</v>
      </c>
      <c r="BI37" s="82">
        <f t="shared" si="19"/>
        <v>0</v>
      </c>
      <c r="BJ37" s="82">
        <f t="shared" si="19"/>
        <v>0</v>
      </c>
      <c r="BK37" s="82">
        <f t="shared" si="19"/>
        <v>0</v>
      </c>
      <c r="BL37" s="82">
        <f t="shared" si="19"/>
        <v>0</v>
      </c>
      <c r="BM37" s="82">
        <f t="shared" si="19"/>
        <v>0</v>
      </c>
      <c r="BN37" s="82">
        <f t="shared" si="19"/>
        <v>0</v>
      </c>
      <c r="BO37" s="82">
        <f t="shared" si="19"/>
        <v>0</v>
      </c>
      <c r="BP37" s="82">
        <f t="shared" si="19"/>
        <v>0</v>
      </c>
      <c r="BQ37" s="82">
        <f t="shared" si="19"/>
        <v>0</v>
      </c>
      <c r="BR37" s="82">
        <f t="shared" si="19"/>
        <v>0</v>
      </c>
      <c r="BS37" s="82">
        <f t="shared" si="19"/>
        <v>0</v>
      </c>
      <c r="BT37" s="82">
        <f t="shared" si="19"/>
        <v>0</v>
      </c>
      <c r="BU37" s="82">
        <f t="shared" si="19"/>
        <v>0</v>
      </c>
      <c r="BV37" s="82">
        <f t="shared" si="19"/>
        <v>0</v>
      </c>
      <c r="BW37" s="82"/>
      <c r="BZ37" s="3">
        <f>AO37+AP37</f>
        <v>0</v>
      </c>
      <c r="CC37" s="3">
        <f>AS37+AT37+AU37+AV37</f>
        <v>8</v>
      </c>
    </row>
    <row r="38" s="4" customFormat="1" ht="24" customHeight="1" spans="1:90">
      <c r="A38" s="24">
        <v>44623</v>
      </c>
      <c r="B38" s="25" t="s">
        <v>3442</v>
      </c>
      <c r="C38" s="26" t="s">
        <v>600</v>
      </c>
      <c r="D38" s="25">
        <v>4500071170</v>
      </c>
      <c r="E38" s="26">
        <v>4500845200</v>
      </c>
      <c r="F38" s="27" t="s">
        <v>3436</v>
      </c>
      <c r="G38" s="27"/>
      <c r="H38" s="26" t="s">
        <v>3437</v>
      </c>
      <c r="I38" s="26">
        <v>2052</v>
      </c>
      <c r="J38" s="26">
        <v>0</v>
      </c>
      <c r="K38" s="26">
        <v>36</v>
      </c>
      <c r="L38" s="49">
        <f t="shared" si="0"/>
        <v>57</v>
      </c>
      <c r="M38" s="16" t="s">
        <v>3443</v>
      </c>
      <c r="N38" s="16" t="s">
        <v>3444</v>
      </c>
      <c r="O38" s="50"/>
      <c r="P38" s="50"/>
      <c r="Q38" s="26"/>
      <c r="R38" s="66" t="s">
        <v>49</v>
      </c>
      <c r="S38" s="66" t="s">
        <v>58</v>
      </c>
      <c r="T38" s="66" t="s">
        <v>58</v>
      </c>
      <c r="U38" s="25" t="s">
        <v>3445</v>
      </c>
      <c r="V38" s="31" t="s">
        <v>895</v>
      </c>
      <c r="W38" s="67">
        <v>2.0315</v>
      </c>
      <c r="X38" s="68">
        <f t="shared" ref="X38:X46" si="20">I38*W38</f>
        <v>4168.638</v>
      </c>
      <c r="Y38" s="26"/>
      <c r="Z38" s="26"/>
      <c r="AA38" s="26"/>
      <c r="AB38" s="26"/>
      <c r="AC38" s="26"/>
      <c r="AD38" s="36" t="s">
        <v>58</v>
      </c>
      <c r="AE38" s="26"/>
      <c r="AF38" s="66"/>
      <c r="AG38" s="4">
        <f t="shared" ref="AG38:AG44" si="21">I38</f>
        <v>2052</v>
      </c>
      <c r="AQ38" s="4">
        <f t="shared" ref="AQ38:AQ43" si="22">I38</f>
        <v>2052</v>
      </c>
      <c r="AR38" s="4">
        <f t="shared" ref="AR38:AR43" si="23">I38</f>
        <v>2052</v>
      </c>
      <c r="BC38" s="4">
        <f>I38/18</f>
        <v>114</v>
      </c>
      <c r="BK38" s="83">
        <f t="shared" ref="BK38:CE38" si="24">$AG38*BK$1</f>
        <v>0</v>
      </c>
      <c r="BL38" s="83">
        <f t="shared" si="24"/>
        <v>0</v>
      </c>
      <c r="BM38" s="83">
        <f t="shared" si="24"/>
        <v>0</v>
      </c>
      <c r="BN38" s="83">
        <f t="shared" si="24"/>
        <v>0</v>
      </c>
      <c r="BO38" s="83">
        <f t="shared" si="24"/>
        <v>0</v>
      </c>
      <c r="BP38" s="83">
        <f t="shared" si="24"/>
        <v>0</v>
      </c>
      <c r="BQ38" s="83">
        <f t="shared" si="24"/>
        <v>0</v>
      </c>
      <c r="BR38" s="83">
        <f t="shared" si="24"/>
        <v>0</v>
      </c>
      <c r="BS38" s="83">
        <f t="shared" si="24"/>
        <v>0</v>
      </c>
      <c r="BT38" s="83">
        <f t="shared" si="24"/>
        <v>0</v>
      </c>
      <c r="BU38" s="83">
        <f t="shared" si="24"/>
        <v>0</v>
      </c>
      <c r="BV38" s="83">
        <f t="shared" si="24"/>
        <v>0</v>
      </c>
      <c r="BW38" s="83">
        <f t="shared" si="24"/>
        <v>0</v>
      </c>
      <c r="BX38" s="83">
        <f t="shared" si="24"/>
        <v>0</v>
      </c>
      <c r="BY38" s="83">
        <f t="shared" si="24"/>
        <v>0</v>
      </c>
      <c r="BZ38" s="83">
        <f t="shared" si="24"/>
        <v>0</v>
      </c>
      <c r="CA38" s="83">
        <f t="shared" si="24"/>
        <v>0</v>
      </c>
      <c r="CB38" s="83">
        <f t="shared" si="24"/>
        <v>0</v>
      </c>
      <c r="CC38" s="83">
        <f t="shared" si="24"/>
        <v>0</v>
      </c>
      <c r="CD38" s="83">
        <f t="shared" si="24"/>
        <v>0</v>
      </c>
      <c r="CE38" s="83">
        <f t="shared" si="24"/>
        <v>0</v>
      </c>
      <c r="CF38" s="83"/>
      <c r="CI38" s="4">
        <f t="shared" ref="CI38:CI101" si="25">AV38+AW38</f>
        <v>0</v>
      </c>
      <c r="CL38" s="4">
        <f>AZ38+BB38+BD38+BE38</f>
        <v>0</v>
      </c>
    </row>
    <row r="39" s="4" customFormat="1" ht="24" customHeight="1" spans="1:90">
      <c r="A39" s="28">
        <v>44630</v>
      </c>
      <c r="B39" s="29" t="s">
        <v>2288</v>
      </c>
      <c r="C39" s="29" t="s">
        <v>716</v>
      </c>
      <c r="D39" s="29">
        <v>4500072893</v>
      </c>
      <c r="E39" s="30" t="s">
        <v>3446</v>
      </c>
      <c r="F39" s="31" t="s">
        <v>3447</v>
      </c>
      <c r="G39" s="31"/>
      <c r="H39" s="26" t="s">
        <v>3448</v>
      </c>
      <c r="I39" s="26">
        <v>6246</v>
      </c>
      <c r="J39" s="26">
        <v>0</v>
      </c>
      <c r="K39" s="26">
        <v>18</v>
      </c>
      <c r="L39" s="49">
        <f t="shared" si="0"/>
        <v>347</v>
      </c>
      <c r="M39" s="16" t="s">
        <v>3449</v>
      </c>
      <c r="N39" s="16" t="s">
        <v>3450</v>
      </c>
      <c r="O39" s="50"/>
      <c r="P39" s="50"/>
      <c r="Q39" s="26"/>
      <c r="R39" s="66" t="s">
        <v>49</v>
      </c>
      <c r="S39" s="66" t="s">
        <v>58</v>
      </c>
      <c r="T39" s="66" t="s">
        <v>58</v>
      </c>
      <c r="U39" s="25" t="s">
        <v>3451</v>
      </c>
      <c r="V39" s="31" t="s">
        <v>3417</v>
      </c>
      <c r="W39" s="69">
        <v>2.0212</v>
      </c>
      <c r="X39" s="68">
        <f t="shared" si="20"/>
        <v>12624.4152</v>
      </c>
      <c r="Y39" s="26"/>
      <c r="Z39" s="26"/>
      <c r="AA39" s="26" t="s">
        <v>3434</v>
      </c>
      <c r="AB39" s="26"/>
      <c r="AC39" s="26"/>
      <c r="AD39" s="36" t="s">
        <v>58</v>
      </c>
      <c r="AE39" s="26"/>
      <c r="AF39" s="66"/>
      <c r="AG39" s="4">
        <f t="shared" si="21"/>
        <v>6246</v>
      </c>
      <c r="AO39" s="4">
        <f t="shared" ref="AO39:AO44" si="26">I39</f>
        <v>6246</v>
      </c>
      <c r="AP39" s="4">
        <f t="shared" ref="AP39:AP44" si="27">I39</f>
        <v>6246</v>
      </c>
      <c r="BB39" s="4">
        <f>I39/18</f>
        <v>347</v>
      </c>
      <c r="BK39" s="83">
        <f t="shared" ref="BK39:CE39" si="28">$AG39*BK$1</f>
        <v>0</v>
      </c>
      <c r="BL39" s="83">
        <f t="shared" si="28"/>
        <v>0</v>
      </c>
      <c r="BM39" s="83">
        <f t="shared" si="28"/>
        <v>0</v>
      </c>
      <c r="BN39" s="83">
        <f t="shared" si="28"/>
        <v>0</v>
      </c>
      <c r="BO39" s="83">
        <f t="shared" si="28"/>
        <v>0</v>
      </c>
      <c r="BP39" s="83">
        <f t="shared" si="28"/>
        <v>0</v>
      </c>
      <c r="BQ39" s="83">
        <f t="shared" si="28"/>
        <v>0</v>
      </c>
      <c r="BR39" s="83">
        <f t="shared" si="28"/>
        <v>0</v>
      </c>
      <c r="BS39" s="83">
        <f t="shared" si="28"/>
        <v>0</v>
      </c>
      <c r="BT39" s="83">
        <f t="shared" si="28"/>
        <v>0</v>
      </c>
      <c r="BU39" s="83">
        <f t="shared" si="28"/>
        <v>0</v>
      </c>
      <c r="BV39" s="83">
        <f t="shared" si="28"/>
        <v>0</v>
      </c>
      <c r="BW39" s="83">
        <f t="shared" si="28"/>
        <v>0</v>
      </c>
      <c r="BX39" s="83">
        <f t="shared" si="28"/>
        <v>0</v>
      </c>
      <c r="BY39" s="83">
        <f t="shared" si="28"/>
        <v>0</v>
      </c>
      <c r="BZ39" s="83">
        <f t="shared" si="28"/>
        <v>0</v>
      </c>
      <c r="CA39" s="83">
        <f t="shared" si="28"/>
        <v>0</v>
      </c>
      <c r="CB39" s="83">
        <f t="shared" si="28"/>
        <v>0</v>
      </c>
      <c r="CC39" s="83">
        <f t="shared" si="28"/>
        <v>0</v>
      </c>
      <c r="CD39" s="83">
        <f t="shared" si="28"/>
        <v>0</v>
      </c>
      <c r="CE39" s="83">
        <f t="shared" si="28"/>
        <v>0</v>
      </c>
      <c r="CF39" s="83"/>
      <c r="CI39" s="4">
        <f t="shared" si="25"/>
        <v>0</v>
      </c>
      <c r="CL39" s="4">
        <f t="shared" ref="CL39:CL102" si="29">AZ39+BB39+BD39+BE39+BA39</f>
        <v>347</v>
      </c>
    </row>
    <row r="40" s="5" customFormat="1" ht="24" customHeight="1" spans="1:90">
      <c r="A40" s="24">
        <v>44630</v>
      </c>
      <c r="B40" s="25" t="s">
        <v>2288</v>
      </c>
      <c r="C40" s="29" t="s">
        <v>716</v>
      </c>
      <c r="D40" s="25">
        <v>4500072899</v>
      </c>
      <c r="E40" s="26">
        <v>8000639967</v>
      </c>
      <c r="F40" s="32" t="s">
        <v>3447</v>
      </c>
      <c r="G40" s="32"/>
      <c r="H40" s="26" t="s">
        <v>3448</v>
      </c>
      <c r="I40" s="36">
        <v>7128</v>
      </c>
      <c r="J40" s="36">
        <v>0</v>
      </c>
      <c r="K40" s="36">
        <v>18</v>
      </c>
      <c r="L40" s="49">
        <f t="shared" si="0"/>
        <v>396</v>
      </c>
      <c r="M40" s="51" t="s">
        <v>3452</v>
      </c>
      <c r="N40" s="51" t="s">
        <v>3453</v>
      </c>
      <c r="O40" s="52"/>
      <c r="P40" s="52"/>
      <c r="Q40" s="36"/>
      <c r="R40" s="66" t="s">
        <v>49</v>
      </c>
      <c r="S40" s="66" t="s">
        <v>58</v>
      </c>
      <c r="T40" s="66" t="s">
        <v>58</v>
      </c>
      <c r="U40" s="35" t="s">
        <v>3451</v>
      </c>
      <c r="V40" s="32" t="s">
        <v>3417</v>
      </c>
      <c r="W40" s="70">
        <v>2.0148</v>
      </c>
      <c r="X40" s="71">
        <f t="shared" si="20"/>
        <v>14361.4944</v>
      </c>
      <c r="Y40" s="36"/>
      <c r="Z40" s="36"/>
      <c r="AA40" s="26" t="s">
        <v>3434</v>
      </c>
      <c r="AB40" s="36"/>
      <c r="AC40" s="36"/>
      <c r="AD40" s="36" t="s">
        <v>58</v>
      </c>
      <c r="AE40" s="36"/>
      <c r="AF40" s="72"/>
      <c r="AG40" s="4">
        <f t="shared" si="21"/>
        <v>7128</v>
      </c>
      <c r="AO40" s="5">
        <f t="shared" si="26"/>
        <v>7128</v>
      </c>
      <c r="AP40" s="5">
        <f t="shared" si="27"/>
        <v>7128</v>
      </c>
      <c r="BB40" s="4">
        <f>I40/18</f>
        <v>396</v>
      </c>
      <c r="BK40" s="83">
        <f t="shared" ref="BK40:CE40" si="30">$AG40*BK$1</f>
        <v>0</v>
      </c>
      <c r="BL40" s="83">
        <f t="shared" si="30"/>
        <v>0</v>
      </c>
      <c r="BM40" s="83">
        <f t="shared" si="30"/>
        <v>0</v>
      </c>
      <c r="BN40" s="83">
        <f t="shared" si="30"/>
        <v>0</v>
      </c>
      <c r="BO40" s="83">
        <f t="shared" si="30"/>
        <v>0</v>
      </c>
      <c r="BP40" s="83">
        <f t="shared" si="30"/>
        <v>0</v>
      </c>
      <c r="BQ40" s="83">
        <f t="shared" si="30"/>
        <v>0</v>
      </c>
      <c r="BR40" s="83">
        <f t="shared" si="30"/>
        <v>0</v>
      </c>
      <c r="BS40" s="83">
        <f t="shared" si="30"/>
        <v>0</v>
      </c>
      <c r="BT40" s="83">
        <f t="shared" si="30"/>
        <v>0</v>
      </c>
      <c r="BU40" s="83">
        <f t="shared" si="30"/>
        <v>0</v>
      </c>
      <c r="BV40" s="83">
        <f t="shared" si="30"/>
        <v>0</v>
      </c>
      <c r="BW40" s="83">
        <f t="shared" si="30"/>
        <v>0</v>
      </c>
      <c r="BX40" s="83">
        <f t="shared" si="30"/>
        <v>0</v>
      </c>
      <c r="BY40" s="83">
        <f t="shared" si="30"/>
        <v>0</v>
      </c>
      <c r="BZ40" s="83">
        <f t="shared" si="30"/>
        <v>0</v>
      </c>
      <c r="CA40" s="83">
        <f t="shared" si="30"/>
        <v>0</v>
      </c>
      <c r="CB40" s="83">
        <f t="shared" si="30"/>
        <v>0</v>
      </c>
      <c r="CC40" s="83">
        <f t="shared" si="30"/>
        <v>0</v>
      </c>
      <c r="CD40" s="83">
        <f t="shared" si="30"/>
        <v>0</v>
      </c>
      <c r="CE40" s="83">
        <f t="shared" si="30"/>
        <v>0</v>
      </c>
      <c r="CF40" s="83"/>
      <c r="CG40" s="4"/>
      <c r="CH40" s="4"/>
      <c r="CI40" s="4">
        <f t="shared" si="25"/>
        <v>0</v>
      </c>
      <c r="CJ40" s="4"/>
      <c r="CK40" s="4"/>
      <c r="CL40" s="4">
        <f t="shared" si="29"/>
        <v>396</v>
      </c>
    </row>
    <row r="41" s="4" customFormat="1" ht="24" customHeight="1" spans="1:90">
      <c r="A41" s="24">
        <v>44630</v>
      </c>
      <c r="B41" s="25" t="s">
        <v>2288</v>
      </c>
      <c r="C41" s="29" t="s">
        <v>716</v>
      </c>
      <c r="D41" s="25">
        <v>4500072899</v>
      </c>
      <c r="E41" s="26">
        <v>8000639968</v>
      </c>
      <c r="F41" s="31" t="s">
        <v>3447</v>
      </c>
      <c r="G41" s="31"/>
      <c r="H41" s="26" t="s">
        <v>3448</v>
      </c>
      <c r="I41" s="26">
        <v>5544</v>
      </c>
      <c r="J41" s="26">
        <v>0</v>
      </c>
      <c r="K41" s="26">
        <v>18</v>
      </c>
      <c r="L41" s="49">
        <f t="shared" si="0"/>
        <v>308</v>
      </c>
      <c r="M41" s="16" t="s">
        <v>3454</v>
      </c>
      <c r="N41" s="16" t="s">
        <v>3455</v>
      </c>
      <c r="O41" s="50"/>
      <c r="P41" s="50"/>
      <c r="Q41" s="26"/>
      <c r="R41" s="66" t="s">
        <v>49</v>
      </c>
      <c r="S41" s="66" t="s">
        <v>58</v>
      </c>
      <c r="T41" s="66" t="s">
        <v>58</v>
      </c>
      <c r="U41" s="25" t="s">
        <v>3451</v>
      </c>
      <c r="V41" s="32" t="s">
        <v>3417</v>
      </c>
      <c r="W41" s="70">
        <v>2.0148</v>
      </c>
      <c r="X41" s="71">
        <f t="shared" si="20"/>
        <v>11170.0512</v>
      </c>
      <c r="Y41" s="26"/>
      <c r="Z41" s="26"/>
      <c r="AA41" s="26" t="s">
        <v>3434</v>
      </c>
      <c r="AB41" s="26"/>
      <c r="AC41" s="26"/>
      <c r="AD41" s="36" t="s">
        <v>58</v>
      </c>
      <c r="AE41" s="26"/>
      <c r="AF41" s="66"/>
      <c r="AG41" s="4">
        <f t="shared" si="21"/>
        <v>5544</v>
      </c>
      <c r="AO41" s="4">
        <f t="shared" si="26"/>
        <v>5544</v>
      </c>
      <c r="AP41" s="4">
        <f t="shared" si="27"/>
        <v>5544</v>
      </c>
      <c r="BB41" s="4">
        <f>I41/18</f>
        <v>308</v>
      </c>
      <c r="BC41" s="5"/>
      <c r="BK41" s="83">
        <f t="shared" ref="BK41:CE41" si="31">$AG41*BK$1</f>
        <v>0</v>
      </c>
      <c r="BL41" s="83">
        <f t="shared" si="31"/>
        <v>0</v>
      </c>
      <c r="BM41" s="83">
        <f t="shared" si="31"/>
        <v>0</v>
      </c>
      <c r="BN41" s="83">
        <f t="shared" si="31"/>
        <v>0</v>
      </c>
      <c r="BO41" s="83">
        <f t="shared" si="31"/>
        <v>0</v>
      </c>
      <c r="BP41" s="83">
        <f t="shared" si="31"/>
        <v>0</v>
      </c>
      <c r="BQ41" s="83">
        <f t="shared" si="31"/>
        <v>0</v>
      </c>
      <c r="BR41" s="83">
        <f t="shared" si="31"/>
        <v>0</v>
      </c>
      <c r="BS41" s="83">
        <f t="shared" si="31"/>
        <v>0</v>
      </c>
      <c r="BT41" s="83">
        <f t="shared" si="31"/>
        <v>0</v>
      </c>
      <c r="BU41" s="83">
        <f t="shared" si="31"/>
        <v>0</v>
      </c>
      <c r="BV41" s="83">
        <f t="shared" si="31"/>
        <v>0</v>
      </c>
      <c r="BW41" s="83">
        <f t="shared" si="31"/>
        <v>0</v>
      </c>
      <c r="BX41" s="83">
        <f t="shared" si="31"/>
        <v>0</v>
      </c>
      <c r="BY41" s="83">
        <f t="shared" si="31"/>
        <v>0</v>
      </c>
      <c r="BZ41" s="83">
        <f t="shared" si="31"/>
        <v>0</v>
      </c>
      <c r="CA41" s="83">
        <f t="shared" si="31"/>
        <v>0</v>
      </c>
      <c r="CB41" s="83">
        <f t="shared" si="31"/>
        <v>0</v>
      </c>
      <c r="CC41" s="83">
        <f t="shared" si="31"/>
        <v>0</v>
      </c>
      <c r="CD41" s="83">
        <f t="shared" si="31"/>
        <v>0</v>
      </c>
      <c r="CE41" s="83">
        <f t="shared" si="31"/>
        <v>0</v>
      </c>
      <c r="CF41" s="83"/>
      <c r="CI41" s="4">
        <f t="shared" si="25"/>
        <v>0</v>
      </c>
      <c r="CL41" s="4">
        <f t="shared" si="29"/>
        <v>308</v>
      </c>
    </row>
    <row r="42" s="4" customFormat="1" ht="24" customHeight="1" spans="1:90">
      <c r="A42" s="24">
        <v>44676</v>
      </c>
      <c r="B42" s="25" t="s">
        <v>3456</v>
      </c>
      <c r="C42" s="26" t="s">
        <v>84</v>
      </c>
      <c r="D42" s="4">
        <v>4500076924</v>
      </c>
      <c r="E42" s="33">
        <v>938477</v>
      </c>
      <c r="F42" s="31" t="s">
        <v>3447</v>
      </c>
      <c r="G42" s="31"/>
      <c r="H42" s="26" t="s">
        <v>3448</v>
      </c>
      <c r="I42" s="26">
        <v>35100</v>
      </c>
      <c r="J42" s="26">
        <v>0</v>
      </c>
      <c r="K42" s="26">
        <v>18</v>
      </c>
      <c r="L42" s="49">
        <f t="shared" si="0"/>
        <v>1950</v>
      </c>
      <c r="M42" s="31">
        <v>44722</v>
      </c>
      <c r="N42" s="53" t="s">
        <v>3457</v>
      </c>
      <c r="O42" s="50"/>
      <c r="P42" s="50"/>
      <c r="Q42" s="26"/>
      <c r="R42" s="66">
        <v>44677</v>
      </c>
      <c r="S42" s="66" t="s">
        <v>58</v>
      </c>
      <c r="T42" s="66" t="s">
        <v>49</v>
      </c>
      <c r="U42" s="25" t="s">
        <v>3458</v>
      </c>
      <c r="V42" s="31" t="s">
        <v>3459</v>
      </c>
      <c r="W42" s="69">
        <v>2.0414</v>
      </c>
      <c r="X42" s="68">
        <f t="shared" si="20"/>
        <v>71653.14</v>
      </c>
      <c r="Y42" s="26"/>
      <c r="Z42" s="26"/>
      <c r="AA42" s="26"/>
      <c r="AB42" s="26"/>
      <c r="AC42" s="26"/>
      <c r="AD42" s="36"/>
      <c r="AE42" s="26"/>
      <c r="AF42" s="66"/>
      <c r="AG42" s="4">
        <f t="shared" si="21"/>
        <v>35100</v>
      </c>
      <c r="AQ42" s="4">
        <f t="shared" si="22"/>
        <v>35100</v>
      </c>
      <c r="AR42" s="4">
        <f t="shared" si="23"/>
        <v>35100</v>
      </c>
      <c r="BC42" s="4">
        <f>I42/18</f>
        <v>1950</v>
      </c>
      <c r="BK42" s="83">
        <f t="shared" ref="BK42:CE42" si="32">$AG42*BK$1</f>
        <v>0</v>
      </c>
      <c r="BL42" s="83">
        <f t="shared" si="32"/>
        <v>0</v>
      </c>
      <c r="BM42" s="83">
        <f t="shared" si="32"/>
        <v>0</v>
      </c>
      <c r="BN42" s="83">
        <f t="shared" si="32"/>
        <v>0</v>
      </c>
      <c r="BO42" s="83">
        <f t="shared" si="32"/>
        <v>0</v>
      </c>
      <c r="BP42" s="83">
        <f t="shared" si="32"/>
        <v>0</v>
      </c>
      <c r="BQ42" s="83">
        <f t="shared" si="32"/>
        <v>0</v>
      </c>
      <c r="BR42" s="83">
        <f t="shared" si="32"/>
        <v>0</v>
      </c>
      <c r="BS42" s="83">
        <f t="shared" si="32"/>
        <v>0</v>
      </c>
      <c r="BT42" s="83">
        <f t="shared" si="32"/>
        <v>0</v>
      </c>
      <c r="BU42" s="83">
        <f t="shared" si="32"/>
        <v>0</v>
      </c>
      <c r="BV42" s="83">
        <f t="shared" si="32"/>
        <v>0</v>
      </c>
      <c r="BW42" s="83">
        <f t="shared" si="32"/>
        <v>0</v>
      </c>
      <c r="BX42" s="83">
        <f t="shared" si="32"/>
        <v>0</v>
      </c>
      <c r="BY42" s="83">
        <f t="shared" si="32"/>
        <v>0</v>
      </c>
      <c r="BZ42" s="83">
        <f t="shared" si="32"/>
        <v>0</v>
      </c>
      <c r="CA42" s="83">
        <f t="shared" si="32"/>
        <v>0</v>
      </c>
      <c r="CB42" s="83">
        <f t="shared" si="32"/>
        <v>0</v>
      </c>
      <c r="CC42" s="83">
        <f t="shared" si="32"/>
        <v>0</v>
      </c>
      <c r="CD42" s="83">
        <f t="shared" si="32"/>
        <v>0</v>
      </c>
      <c r="CE42" s="83">
        <f t="shared" si="32"/>
        <v>0</v>
      </c>
      <c r="CF42" s="83"/>
      <c r="CI42" s="4">
        <f t="shared" si="25"/>
        <v>0</v>
      </c>
      <c r="CL42" s="4">
        <f t="shared" si="29"/>
        <v>0</v>
      </c>
    </row>
    <row r="43" s="4" customFormat="1" ht="24" customHeight="1" spans="1:90">
      <c r="A43" s="28">
        <v>44676</v>
      </c>
      <c r="B43" s="29" t="s">
        <v>3460</v>
      </c>
      <c r="C43" s="29" t="s">
        <v>3400</v>
      </c>
      <c r="D43" s="29" t="s">
        <v>3461</v>
      </c>
      <c r="E43" s="30"/>
      <c r="F43" s="27" t="s">
        <v>3462</v>
      </c>
      <c r="G43" s="27"/>
      <c r="H43" s="26" t="s">
        <v>3396</v>
      </c>
      <c r="I43" s="26">
        <v>22680</v>
      </c>
      <c r="J43" s="26">
        <v>0</v>
      </c>
      <c r="K43" s="26">
        <v>6</v>
      </c>
      <c r="L43" s="49">
        <f t="shared" si="0"/>
        <v>3780</v>
      </c>
      <c r="M43" s="31">
        <v>44734</v>
      </c>
      <c r="N43" s="31">
        <v>44730</v>
      </c>
      <c r="O43" s="50"/>
      <c r="P43" s="50"/>
      <c r="Q43" s="26"/>
      <c r="R43" s="66" t="s">
        <v>49</v>
      </c>
      <c r="S43" s="66" t="s">
        <v>58</v>
      </c>
      <c r="T43" s="66" t="s">
        <v>58</v>
      </c>
      <c r="U43" s="25" t="s">
        <v>3463</v>
      </c>
      <c r="V43" s="31"/>
      <c r="W43" s="69">
        <v>1.8243</v>
      </c>
      <c r="X43" s="68">
        <f t="shared" si="20"/>
        <v>41375.124</v>
      </c>
      <c r="Y43" s="26"/>
      <c r="Z43" s="26"/>
      <c r="AA43" s="26"/>
      <c r="AB43" s="26"/>
      <c r="AC43" s="26"/>
      <c r="AD43" s="36"/>
      <c r="AE43" s="26"/>
      <c r="AF43" s="66"/>
      <c r="AG43" s="4">
        <f t="shared" si="21"/>
        <v>22680</v>
      </c>
      <c r="AQ43" s="4">
        <f t="shared" si="22"/>
        <v>22680</v>
      </c>
      <c r="AR43" s="4">
        <f t="shared" si="23"/>
        <v>22680</v>
      </c>
      <c r="BK43" s="83">
        <f t="shared" ref="BK43:CE43" si="33">$AG43*BK$1</f>
        <v>0</v>
      </c>
      <c r="BL43" s="83">
        <f t="shared" si="33"/>
        <v>0</v>
      </c>
      <c r="BM43" s="83">
        <f t="shared" si="33"/>
        <v>0</v>
      </c>
      <c r="BN43" s="83">
        <f t="shared" si="33"/>
        <v>0</v>
      </c>
      <c r="BO43" s="83">
        <f t="shared" si="33"/>
        <v>0</v>
      </c>
      <c r="BP43" s="83">
        <f t="shared" si="33"/>
        <v>0</v>
      </c>
      <c r="BQ43" s="83">
        <f t="shared" si="33"/>
        <v>0</v>
      </c>
      <c r="BR43" s="83">
        <f t="shared" si="33"/>
        <v>0</v>
      </c>
      <c r="BS43" s="83">
        <f t="shared" si="33"/>
        <v>0</v>
      </c>
      <c r="BT43" s="83">
        <f t="shared" si="33"/>
        <v>0</v>
      </c>
      <c r="BU43" s="83">
        <f t="shared" si="33"/>
        <v>0</v>
      </c>
      <c r="BV43" s="83">
        <f t="shared" si="33"/>
        <v>0</v>
      </c>
      <c r="BW43" s="83">
        <f t="shared" si="33"/>
        <v>0</v>
      </c>
      <c r="BX43" s="83">
        <f t="shared" si="33"/>
        <v>0</v>
      </c>
      <c r="BY43" s="83">
        <f t="shared" si="33"/>
        <v>0</v>
      </c>
      <c r="BZ43" s="83">
        <f t="shared" si="33"/>
        <v>0</v>
      </c>
      <c r="CA43" s="83">
        <f t="shared" si="33"/>
        <v>0</v>
      </c>
      <c r="CB43" s="83">
        <f t="shared" si="33"/>
        <v>0</v>
      </c>
      <c r="CC43" s="83">
        <f t="shared" si="33"/>
        <v>0</v>
      </c>
      <c r="CD43" s="83">
        <f t="shared" si="33"/>
        <v>0</v>
      </c>
      <c r="CE43" s="83">
        <f t="shared" si="33"/>
        <v>0</v>
      </c>
      <c r="CF43" s="83"/>
      <c r="CI43" s="4">
        <f t="shared" si="25"/>
        <v>0</v>
      </c>
      <c r="CL43" s="4">
        <f t="shared" si="29"/>
        <v>0</v>
      </c>
    </row>
    <row r="44" s="5" customFormat="1" ht="24" customHeight="1" spans="1:90">
      <c r="A44" s="34">
        <v>44630</v>
      </c>
      <c r="B44" s="35" t="s">
        <v>3442</v>
      </c>
      <c r="C44" s="36" t="s">
        <v>600</v>
      </c>
      <c r="D44" s="35">
        <v>4500072674</v>
      </c>
      <c r="E44" s="36">
        <v>4500845201</v>
      </c>
      <c r="F44" s="32" t="s">
        <v>3436</v>
      </c>
      <c r="G44" s="32"/>
      <c r="H44" s="36" t="s">
        <v>3437</v>
      </c>
      <c r="I44" s="36">
        <v>1980</v>
      </c>
      <c r="J44" s="36">
        <v>0</v>
      </c>
      <c r="K44" s="36">
        <v>36</v>
      </c>
      <c r="L44" s="49">
        <f t="shared" si="0"/>
        <v>55</v>
      </c>
      <c r="M44" s="32">
        <v>44778</v>
      </c>
      <c r="N44" s="54" t="s">
        <v>3464</v>
      </c>
      <c r="O44" s="52"/>
      <c r="P44" s="52"/>
      <c r="Q44" s="36"/>
      <c r="R44" s="72" t="s">
        <v>49</v>
      </c>
      <c r="S44" s="72" t="s">
        <v>58</v>
      </c>
      <c r="T44" s="72" t="s">
        <v>49</v>
      </c>
      <c r="U44" s="35" t="s">
        <v>3465</v>
      </c>
      <c r="V44" s="32" t="s">
        <v>895</v>
      </c>
      <c r="W44" s="70">
        <v>2.0315</v>
      </c>
      <c r="X44" s="71">
        <f t="shared" si="20"/>
        <v>4022.37</v>
      </c>
      <c r="Y44" s="36"/>
      <c r="Z44" s="36"/>
      <c r="AA44" s="26" t="s">
        <v>3434</v>
      </c>
      <c r="AB44" s="36"/>
      <c r="AC44" s="36"/>
      <c r="AD44" s="36"/>
      <c r="AE44" s="36"/>
      <c r="AF44" s="72"/>
      <c r="AG44" s="5">
        <f t="shared" si="21"/>
        <v>1980</v>
      </c>
      <c r="AO44" s="5">
        <f t="shared" si="26"/>
        <v>1980</v>
      </c>
      <c r="AP44" s="5">
        <f t="shared" si="27"/>
        <v>1980</v>
      </c>
      <c r="BC44" s="5">
        <f>I44/18</f>
        <v>110</v>
      </c>
      <c r="BK44" s="83">
        <f t="shared" ref="BK44:CE44" si="34">$AG44*BK$1</f>
        <v>0</v>
      </c>
      <c r="BL44" s="83">
        <f t="shared" si="34"/>
        <v>0</v>
      </c>
      <c r="BM44" s="83">
        <f t="shared" si="34"/>
        <v>0</v>
      </c>
      <c r="BN44" s="83">
        <f t="shared" si="34"/>
        <v>0</v>
      </c>
      <c r="BO44" s="83">
        <f t="shared" si="34"/>
        <v>0</v>
      </c>
      <c r="BP44" s="83">
        <f t="shared" si="34"/>
        <v>0</v>
      </c>
      <c r="BQ44" s="83">
        <f t="shared" si="34"/>
        <v>0</v>
      </c>
      <c r="BR44" s="83">
        <f t="shared" si="34"/>
        <v>0</v>
      </c>
      <c r="BS44" s="83">
        <f t="shared" si="34"/>
        <v>0</v>
      </c>
      <c r="BT44" s="83">
        <f t="shared" si="34"/>
        <v>0</v>
      </c>
      <c r="BU44" s="83">
        <f t="shared" si="34"/>
        <v>0</v>
      </c>
      <c r="BV44" s="83">
        <f t="shared" si="34"/>
        <v>0</v>
      </c>
      <c r="BW44" s="83">
        <f t="shared" si="34"/>
        <v>0</v>
      </c>
      <c r="BX44" s="83">
        <f t="shared" si="34"/>
        <v>0</v>
      </c>
      <c r="BY44" s="83">
        <f t="shared" si="34"/>
        <v>0</v>
      </c>
      <c r="BZ44" s="83">
        <f t="shared" si="34"/>
        <v>0</v>
      </c>
      <c r="CA44" s="83">
        <f t="shared" si="34"/>
        <v>0</v>
      </c>
      <c r="CB44" s="83">
        <f t="shared" si="34"/>
        <v>0</v>
      </c>
      <c r="CC44" s="83">
        <f t="shared" si="34"/>
        <v>0</v>
      </c>
      <c r="CD44" s="83">
        <f t="shared" si="34"/>
        <v>0</v>
      </c>
      <c r="CE44" s="83">
        <f t="shared" si="34"/>
        <v>0</v>
      </c>
      <c r="CF44" s="83"/>
      <c r="CG44" s="4"/>
      <c r="CH44" s="4"/>
      <c r="CI44" s="4">
        <f t="shared" si="25"/>
        <v>0</v>
      </c>
      <c r="CJ44" s="4"/>
      <c r="CK44" s="4"/>
      <c r="CL44" s="4">
        <f t="shared" si="29"/>
        <v>0</v>
      </c>
    </row>
    <row r="45" s="4" customFormat="1" ht="24" customHeight="1" spans="1:90">
      <c r="A45" s="24">
        <v>44677</v>
      </c>
      <c r="B45" s="25" t="s">
        <v>1544</v>
      </c>
      <c r="C45" s="26" t="s">
        <v>716</v>
      </c>
      <c r="D45" s="4">
        <v>4500076568</v>
      </c>
      <c r="E45" s="33"/>
      <c r="F45" s="31" t="s">
        <v>3466</v>
      </c>
      <c r="G45" s="32"/>
      <c r="H45" s="36" t="s">
        <v>3467</v>
      </c>
      <c r="I45" s="26">
        <v>504</v>
      </c>
      <c r="J45" s="26">
        <v>0</v>
      </c>
      <c r="K45" s="26">
        <v>24</v>
      </c>
      <c r="L45" s="49">
        <f t="shared" si="0"/>
        <v>21</v>
      </c>
      <c r="M45" s="31" t="s">
        <v>3468</v>
      </c>
      <c r="N45" s="31" t="s">
        <v>3469</v>
      </c>
      <c r="O45" s="50"/>
      <c r="P45" s="50"/>
      <c r="Q45" s="26"/>
      <c r="R45" s="66" t="s">
        <v>3470</v>
      </c>
      <c r="S45" s="66" t="s">
        <v>48</v>
      </c>
      <c r="T45" s="66" t="s">
        <v>49</v>
      </c>
      <c r="U45" s="25" t="s">
        <v>3471</v>
      </c>
      <c r="V45" s="31" t="s">
        <v>3472</v>
      </c>
      <c r="W45" s="69">
        <v>4.0223</v>
      </c>
      <c r="X45" s="68">
        <f t="shared" si="20"/>
        <v>2027.2392</v>
      </c>
      <c r="Y45" s="26"/>
      <c r="Z45" s="26"/>
      <c r="AA45" s="26"/>
      <c r="AB45" s="26"/>
      <c r="AC45" s="26"/>
      <c r="AD45" s="36"/>
      <c r="AE45" s="26"/>
      <c r="AF45" s="66"/>
      <c r="AG45" s="4">
        <f>I45*2</f>
        <v>1008</v>
      </c>
      <c r="AQ45" s="4">
        <f>I45*2</f>
        <v>1008</v>
      </c>
      <c r="AR45" s="4">
        <f>I45*2</f>
        <v>1008</v>
      </c>
      <c r="BK45" s="83">
        <f t="shared" ref="BK45:CE45" si="35">$AG45*BK$1</f>
        <v>0</v>
      </c>
      <c r="BL45" s="83">
        <f t="shared" si="35"/>
        <v>0</v>
      </c>
      <c r="BM45" s="83">
        <f t="shared" si="35"/>
        <v>0</v>
      </c>
      <c r="BN45" s="83">
        <f t="shared" si="35"/>
        <v>0</v>
      </c>
      <c r="BO45" s="83">
        <f t="shared" si="35"/>
        <v>0</v>
      </c>
      <c r="BP45" s="83">
        <f t="shared" si="35"/>
        <v>0</v>
      </c>
      <c r="BQ45" s="83">
        <f t="shared" si="35"/>
        <v>0</v>
      </c>
      <c r="BR45" s="83">
        <f t="shared" si="35"/>
        <v>0</v>
      </c>
      <c r="BS45" s="83">
        <f t="shared" si="35"/>
        <v>0</v>
      </c>
      <c r="BT45" s="83">
        <f t="shared" si="35"/>
        <v>0</v>
      </c>
      <c r="BU45" s="83">
        <f t="shared" si="35"/>
        <v>0</v>
      </c>
      <c r="BV45" s="83">
        <f t="shared" si="35"/>
        <v>0</v>
      </c>
      <c r="BW45" s="83">
        <f t="shared" si="35"/>
        <v>0</v>
      </c>
      <c r="BX45" s="83">
        <f t="shared" si="35"/>
        <v>0</v>
      </c>
      <c r="BY45" s="83">
        <f t="shared" si="35"/>
        <v>0</v>
      </c>
      <c r="BZ45" s="83">
        <f t="shared" si="35"/>
        <v>0</v>
      </c>
      <c r="CA45" s="83">
        <f t="shared" si="35"/>
        <v>0</v>
      </c>
      <c r="CB45" s="83">
        <f t="shared" si="35"/>
        <v>0</v>
      </c>
      <c r="CC45" s="83">
        <f t="shared" si="35"/>
        <v>0</v>
      </c>
      <c r="CD45" s="83">
        <f t="shared" si="35"/>
        <v>0</v>
      </c>
      <c r="CE45" s="83">
        <f t="shared" si="35"/>
        <v>0</v>
      </c>
      <c r="CF45" s="83"/>
      <c r="CI45" s="4">
        <f t="shared" si="25"/>
        <v>0</v>
      </c>
      <c r="CL45" s="4">
        <f t="shared" si="29"/>
        <v>0</v>
      </c>
    </row>
    <row r="46" s="4" customFormat="1" ht="24" customHeight="1" spans="1:90">
      <c r="A46" s="24">
        <v>44642</v>
      </c>
      <c r="B46" s="25" t="s">
        <v>3473</v>
      </c>
      <c r="C46" s="26" t="s">
        <v>716</v>
      </c>
      <c r="D46" s="4">
        <v>4500073775</v>
      </c>
      <c r="E46" s="33" t="s">
        <v>3474</v>
      </c>
      <c r="F46" s="31" t="s">
        <v>3447</v>
      </c>
      <c r="G46" s="31"/>
      <c r="H46" s="26" t="s">
        <v>3448</v>
      </c>
      <c r="I46" s="26">
        <v>3852</v>
      </c>
      <c r="J46" s="26">
        <v>0</v>
      </c>
      <c r="K46" s="26">
        <v>18</v>
      </c>
      <c r="L46" s="49">
        <f t="shared" si="0"/>
        <v>214</v>
      </c>
      <c r="M46" s="31">
        <v>44687</v>
      </c>
      <c r="N46" s="31" t="s">
        <v>3475</v>
      </c>
      <c r="O46" s="50"/>
      <c r="P46" s="50"/>
      <c r="Q46" s="26"/>
      <c r="R46" s="66">
        <v>44642</v>
      </c>
      <c r="S46" s="66" t="s">
        <v>58</v>
      </c>
      <c r="T46" s="66" t="s">
        <v>58</v>
      </c>
      <c r="U46" s="25" t="s">
        <v>3476</v>
      </c>
      <c r="V46" s="31" t="s">
        <v>1775</v>
      </c>
      <c r="W46" s="69">
        <v>2.0276</v>
      </c>
      <c r="X46" s="68">
        <f t="shared" si="20"/>
        <v>7810.3152</v>
      </c>
      <c r="Y46" s="26"/>
      <c r="Z46" s="26"/>
      <c r="AA46" s="26" t="s">
        <v>3434</v>
      </c>
      <c r="AB46" s="26"/>
      <c r="AC46" s="26">
        <f t="shared" ref="AC46:AC51" si="36">AB46-I46</f>
        <v>-3852</v>
      </c>
      <c r="AD46" s="36" t="s">
        <v>58</v>
      </c>
      <c r="AE46" s="26"/>
      <c r="AF46" s="66"/>
      <c r="AG46" s="4">
        <f t="shared" ref="AG46:AG49" si="37">I46</f>
        <v>3852</v>
      </c>
      <c r="AQ46" s="4">
        <f>I46</f>
        <v>3852</v>
      </c>
      <c r="AR46" s="4">
        <f>I46</f>
        <v>3852</v>
      </c>
      <c r="BB46" s="4">
        <f>I46/18</f>
        <v>214</v>
      </c>
      <c r="BK46" s="83" t="e">
        <f>$AG46*#REF!</f>
        <v>#REF!</v>
      </c>
      <c r="BL46" s="83" t="e">
        <f>$AG46*#REF!</f>
        <v>#REF!</v>
      </c>
      <c r="BM46" s="83" t="e">
        <f>$AG46*#REF!</f>
        <v>#REF!</v>
      </c>
      <c r="BN46" s="83" t="e">
        <f>$AG46*#REF!</f>
        <v>#REF!</v>
      </c>
      <c r="BO46" s="83" t="e">
        <f>$AG46*#REF!</f>
        <v>#REF!</v>
      </c>
      <c r="BP46" s="83" t="e">
        <f>$AG46*#REF!</f>
        <v>#REF!</v>
      </c>
      <c r="BQ46" s="83" t="e">
        <f>$AG46*#REF!</f>
        <v>#REF!</v>
      </c>
      <c r="BR46" s="83" t="e">
        <f>$AG46*#REF!</f>
        <v>#REF!</v>
      </c>
      <c r="BS46" s="83" t="e">
        <f>$AG46*#REF!</f>
        <v>#REF!</v>
      </c>
      <c r="BT46" s="83" t="e">
        <f>$AG46*#REF!</f>
        <v>#REF!</v>
      </c>
      <c r="BU46" s="83" t="e">
        <f>$AG46*#REF!</f>
        <v>#REF!</v>
      </c>
      <c r="BV46" s="83" t="e">
        <f>$AG46*#REF!</f>
        <v>#REF!</v>
      </c>
      <c r="BW46" s="83" t="e">
        <f>$AG46*#REF!</f>
        <v>#REF!</v>
      </c>
      <c r="BX46" s="83" t="e">
        <f>$AG46*#REF!</f>
        <v>#REF!</v>
      </c>
      <c r="BY46" s="83" t="e">
        <f>$AG46*#REF!</f>
        <v>#REF!</v>
      </c>
      <c r="BZ46" s="83" t="e">
        <f>$AG46*#REF!</f>
        <v>#REF!</v>
      </c>
      <c r="CA46" s="83" t="e">
        <f>$AG46*#REF!</f>
        <v>#REF!</v>
      </c>
      <c r="CB46" s="83" t="e">
        <f>$AG46*#REF!</f>
        <v>#REF!</v>
      </c>
      <c r="CC46" s="83" t="e">
        <f>$AG46*#REF!</f>
        <v>#REF!</v>
      </c>
      <c r="CD46" s="83" t="e">
        <f>$AG46*#REF!</f>
        <v>#REF!</v>
      </c>
      <c r="CE46" s="83" t="e">
        <f>$AG46*#REF!</f>
        <v>#REF!</v>
      </c>
      <c r="CF46" s="83"/>
      <c r="CI46" s="4">
        <f t="shared" si="25"/>
        <v>0</v>
      </c>
      <c r="CL46" s="4">
        <f t="shared" si="29"/>
        <v>214</v>
      </c>
    </row>
    <row r="47" s="4" customFormat="1" ht="24" customHeight="1" spans="1:90">
      <c r="A47" s="24">
        <v>44631</v>
      </c>
      <c r="B47" s="25" t="s">
        <v>3460</v>
      </c>
      <c r="C47" s="26" t="s">
        <v>3400</v>
      </c>
      <c r="D47" s="4" t="s">
        <v>3477</v>
      </c>
      <c r="E47" s="33"/>
      <c r="F47" s="31" t="s">
        <v>3478</v>
      </c>
      <c r="G47" s="31"/>
      <c r="H47" s="26" t="s">
        <v>3479</v>
      </c>
      <c r="I47" s="26">
        <v>0</v>
      </c>
      <c r="J47" s="26">
        <v>0</v>
      </c>
      <c r="K47" s="26">
        <v>1</v>
      </c>
      <c r="L47" s="49">
        <f t="shared" si="0"/>
        <v>0</v>
      </c>
      <c r="M47" s="31">
        <v>44665</v>
      </c>
      <c r="N47" s="31" t="s">
        <v>3480</v>
      </c>
      <c r="O47" s="50"/>
      <c r="P47" s="50"/>
      <c r="Q47" s="26"/>
      <c r="R47" s="66" t="s">
        <v>58</v>
      </c>
      <c r="S47" s="66" t="s">
        <v>48</v>
      </c>
      <c r="T47" s="66" t="s">
        <v>58</v>
      </c>
      <c r="U47" s="25" t="s">
        <v>3481</v>
      </c>
      <c r="V47" s="31">
        <v>0</v>
      </c>
      <c r="W47" s="69">
        <v>0</v>
      </c>
      <c r="X47" s="68">
        <v>0</v>
      </c>
      <c r="Y47" s="26"/>
      <c r="Z47" s="26"/>
      <c r="AA47" s="26" t="s">
        <v>3434</v>
      </c>
      <c r="AB47" s="26"/>
      <c r="AC47" s="26">
        <f t="shared" si="36"/>
        <v>0</v>
      </c>
      <c r="AD47" s="36"/>
      <c r="AE47" s="26"/>
      <c r="AF47" s="66"/>
      <c r="BK47" s="83" t="e">
        <f>$AG47*#REF!</f>
        <v>#REF!</v>
      </c>
      <c r="BL47" s="83" t="e">
        <f>$AG47*#REF!</f>
        <v>#REF!</v>
      </c>
      <c r="BM47" s="83" t="e">
        <f>$AG47*#REF!</f>
        <v>#REF!</v>
      </c>
      <c r="BN47" s="83" t="e">
        <f>$AG47*#REF!</f>
        <v>#REF!</v>
      </c>
      <c r="BO47" s="83" t="e">
        <f>$AG47*#REF!</f>
        <v>#REF!</v>
      </c>
      <c r="BP47" s="83" t="e">
        <f>$AG47*#REF!</f>
        <v>#REF!</v>
      </c>
      <c r="BQ47" s="83" t="e">
        <f>$AG47*#REF!</f>
        <v>#REF!</v>
      </c>
      <c r="BR47" s="83" t="e">
        <f>$AG47*#REF!</f>
        <v>#REF!</v>
      </c>
      <c r="BS47" s="83" t="e">
        <f>$AG47*#REF!</f>
        <v>#REF!</v>
      </c>
      <c r="BT47" s="83" t="e">
        <f>$AG47*#REF!</f>
        <v>#REF!</v>
      </c>
      <c r="BU47" s="83" t="e">
        <f>$AG47*#REF!</f>
        <v>#REF!</v>
      </c>
      <c r="BV47" s="83" t="e">
        <f>$AG47*#REF!</f>
        <v>#REF!</v>
      </c>
      <c r="BW47" s="83" t="e">
        <f>$AG47*#REF!</f>
        <v>#REF!</v>
      </c>
      <c r="BX47" s="83" t="e">
        <f>$AG47*#REF!</f>
        <v>#REF!</v>
      </c>
      <c r="BY47" s="83" t="e">
        <f>$AG47*#REF!</f>
        <v>#REF!</v>
      </c>
      <c r="BZ47" s="83" t="e">
        <f>$AG47*#REF!</f>
        <v>#REF!</v>
      </c>
      <c r="CA47" s="83" t="e">
        <f>$AG47*#REF!</f>
        <v>#REF!</v>
      </c>
      <c r="CB47" s="83" t="e">
        <f>$AG47*#REF!</f>
        <v>#REF!</v>
      </c>
      <c r="CC47" s="83" t="e">
        <f>$AG47*#REF!</f>
        <v>#REF!</v>
      </c>
      <c r="CD47" s="83" t="e">
        <f>$AG47*#REF!</f>
        <v>#REF!</v>
      </c>
      <c r="CE47" s="83" t="e">
        <f>$AG47*#REF!</f>
        <v>#REF!</v>
      </c>
      <c r="CF47" s="83"/>
      <c r="CI47" s="4">
        <f t="shared" si="25"/>
        <v>0</v>
      </c>
      <c r="CL47" s="4">
        <f t="shared" si="29"/>
        <v>0</v>
      </c>
    </row>
    <row r="48" s="4" customFormat="1" ht="24" customHeight="1" spans="1:90">
      <c r="A48" s="24">
        <v>44631</v>
      </c>
      <c r="B48" s="25" t="s">
        <v>3460</v>
      </c>
      <c r="C48" s="26" t="s">
        <v>3400</v>
      </c>
      <c r="D48" s="4" t="s">
        <v>3477</v>
      </c>
      <c r="E48" s="33"/>
      <c r="F48" s="31">
        <v>77198</v>
      </c>
      <c r="G48" s="31"/>
      <c r="H48" s="26" t="s">
        <v>3418</v>
      </c>
      <c r="I48" s="26">
        <v>0</v>
      </c>
      <c r="J48" s="26">
        <v>0</v>
      </c>
      <c r="K48" s="26">
        <v>60</v>
      </c>
      <c r="L48" s="49">
        <f t="shared" si="0"/>
        <v>0</v>
      </c>
      <c r="M48" s="31">
        <v>44665</v>
      </c>
      <c r="N48" s="31" t="s">
        <v>3480</v>
      </c>
      <c r="O48" s="50"/>
      <c r="P48" s="50"/>
      <c r="Q48" s="26"/>
      <c r="R48" s="66" t="s">
        <v>58</v>
      </c>
      <c r="S48" s="66" t="s">
        <v>48</v>
      </c>
      <c r="T48" s="66" t="s">
        <v>58</v>
      </c>
      <c r="U48" s="25"/>
      <c r="V48" s="31">
        <v>0</v>
      </c>
      <c r="W48" s="69">
        <v>0</v>
      </c>
      <c r="X48" s="68">
        <v>0</v>
      </c>
      <c r="Y48" s="26"/>
      <c r="Z48" s="26"/>
      <c r="AA48" s="26" t="s">
        <v>3434</v>
      </c>
      <c r="AB48" s="26"/>
      <c r="AC48" s="26">
        <f t="shared" si="36"/>
        <v>0</v>
      </c>
      <c r="AD48" s="36"/>
      <c r="AE48" s="26"/>
      <c r="AF48" s="66"/>
      <c r="AG48" s="4">
        <f t="shared" si="37"/>
        <v>0</v>
      </c>
      <c r="AK48" s="4">
        <f>I48</f>
        <v>0</v>
      </c>
      <c r="AL48" s="4">
        <f>I48</f>
        <v>0</v>
      </c>
      <c r="BA48" s="4">
        <f>I48/18</f>
        <v>0</v>
      </c>
      <c r="BK48" s="83" t="e">
        <f>$AG48*#REF!</f>
        <v>#REF!</v>
      </c>
      <c r="BL48" s="83" t="e">
        <f>$AG48*#REF!</f>
        <v>#REF!</v>
      </c>
      <c r="BM48" s="83" t="e">
        <f>$AG48*#REF!</f>
        <v>#REF!</v>
      </c>
      <c r="BN48" s="83" t="e">
        <f>$AG48*#REF!</f>
        <v>#REF!</v>
      </c>
      <c r="BO48" s="83" t="e">
        <f>$AG48*#REF!</f>
        <v>#REF!</v>
      </c>
      <c r="BP48" s="83" t="e">
        <f>$AG48*#REF!</f>
        <v>#REF!</v>
      </c>
      <c r="BQ48" s="83" t="e">
        <f>$AG48*#REF!</f>
        <v>#REF!</v>
      </c>
      <c r="BR48" s="83" t="e">
        <f>$AG48*#REF!</f>
        <v>#REF!</v>
      </c>
      <c r="BS48" s="83" t="e">
        <f>$AG48*#REF!</f>
        <v>#REF!</v>
      </c>
      <c r="BT48" s="83" t="e">
        <f>$AG48*#REF!</f>
        <v>#REF!</v>
      </c>
      <c r="BU48" s="83" t="e">
        <f>$AG48*#REF!</f>
        <v>#REF!</v>
      </c>
      <c r="BV48" s="83" t="e">
        <f>$AG48*#REF!</f>
        <v>#REF!</v>
      </c>
      <c r="BW48" s="83" t="e">
        <f>$AG48*#REF!</f>
        <v>#REF!</v>
      </c>
      <c r="BX48" s="83" t="e">
        <f>$AG48*#REF!</f>
        <v>#REF!</v>
      </c>
      <c r="BY48" s="83" t="e">
        <f>$AG48*#REF!</f>
        <v>#REF!</v>
      </c>
      <c r="BZ48" s="83" t="e">
        <f>$AG48*#REF!</f>
        <v>#REF!</v>
      </c>
      <c r="CA48" s="83" t="e">
        <f>$AG48*#REF!</f>
        <v>#REF!</v>
      </c>
      <c r="CB48" s="83" t="e">
        <f>$AG48*#REF!</f>
        <v>#REF!</v>
      </c>
      <c r="CC48" s="83" t="e">
        <f>$AG48*#REF!</f>
        <v>#REF!</v>
      </c>
      <c r="CD48" s="83" t="e">
        <f>$AG48*#REF!</f>
        <v>#REF!</v>
      </c>
      <c r="CE48" s="83" t="e">
        <f>$AG48*#REF!</f>
        <v>#REF!</v>
      </c>
      <c r="CF48" s="83"/>
      <c r="CI48" s="4">
        <f t="shared" si="25"/>
        <v>0</v>
      </c>
      <c r="CL48" s="4">
        <f t="shared" si="29"/>
        <v>0</v>
      </c>
    </row>
    <row r="49" s="4" customFormat="1" ht="24" customHeight="1" spans="1:90">
      <c r="A49" s="24">
        <v>44628</v>
      </c>
      <c r="B49" s="25" t="s">
        <v>2288</v>
      </c>
      <c r="C49" s="26" t="s">
        <v>716</v>
      </c>
      <c r="D49" s="4">
        <v>4500072103</v>
      </c>
      <c r="E49" s="33">
        <v>8000639965</v>
      </c>
      <c r="F49" s="31" t="s">
        <v>3447</v>
      </c>
      <c r="G49" s="31"/>
      <c r="H49" s="26" t="s">
        <v>3448</v>
      </c>
      <c r="I49" s="26">
        <v>6390</v>
      </c>
      <c r="J49" s="26">
        <v>0</v>
      </c>
      <c r="K49" s="26">
        <v>18</v>
      </c>
      <c r="L49" s="49">
        <f t="shared" si="0"/>
        <v>355</v>
      </c>
      <c r="M49" s="31">
        <v>44706</v>
      </c>
      <c r="N49" s="31" t="s">
        <v>3482</v>
      </c>
      <c r="O49" s="50"/>
      <c r="P49" s="50" t="s">
        <v>1266</v>
      </c>
      <c r="Q49" s="26"/>
      <c r="R49" s="66">
        <v>44642</v>
      </c>
      <c r="S49" s="66" t="s">
        <v>58</v>
      </c>
      <c r="T49" s="66" t="s">
        <v>58</v>
      </c>
      <c r="U49" s="25" t="s">
        <v>3483</v>
      </c>
      <c r="V49" s="31" t="s">
        <v>3417</v>
      </c>
      <c r="W49" s="69">
        <v>1.999</v>
      </c>
      <c r="X49" s="68">
        <f t="shared" ref="X49:X54" si="38">I49*W49</f>
        <v>12773.61</v>
      </c>
      <c r="Y49" s="26"/>
      <c r="Z49" s="26"/>
      <c r="AA49" s="26" t="s">
        <v>3434</v>
      </c>
      <c r="AB49" s="26">
        <v>6390</v>
      </c>
      <c r="AC49" s="26">
        <f t="shared" si="36"/>
        <v>0</v>
      </c>
      <c r="AD49" s="36" t="s">
        <v>58</v>
      </c>
      <c r="AE49" s="26"/>
      <c r="AF49" s="66"/>
      <c r="AG49" s="4">
        <f t="shared" si="37"/>
        <v>6390</v>
      </c>
      <c r="AO49" s="4">
        <f>I49</f>
        <v>6390</v>
      </c>
      <c r="AP49" s="4">
        <f>I49</f>
        <v>6390</v>
      </c>
      <c r="BB49" s="4">
        <f>I49/18</f>
        <v>355</v>
      </c>
      <c r="BK49" s="83" t="e">
        <f>$AG49*#REF!</f>
        <v>#REF!</v>
      </c>
      <c r="BL49" s="83" t="e">
        <f>$AG49*#REF!</f>
        <v>#REF!</v>
      </c>
      <c r="BM49" s="83" t="e">
        <f>$AG49*#REF!</f>
        <v>#REF!</v>
      </c>
      <c r="BN49" s="83" t="e">
        <f>$AG49*#REF!</f>
        <v>#REF!</v>
      </c>
      <c r="BO49" s="83" t="e">
        <f>$AG49*#REF!</f>
        <v>#REF!</v>
      </c>
      <c r="BP49" s="83" t="e">
        <f>$AG49*#REF!</f>
        <v>#REF!</v>
      </c>
      <c r="BQ49" s="83" t="e">
        <f>$AG49*#REF!</f>
        <v>#REF!</v>
      </c>
      <c r="BR49" s="83" t="e">
        <f>$AG49*#REF!</f>
        <v>#REF!</v>
      </c>
      <c r="BS49" s="83" t="e">
        <f>$AG49*#REF!</f>
        <v>#REF!</v>
      </c>
      <c r="BT49" s="83" t="e">
        <f>$AG49*#REF!</f>
        <v>#REF!</v>
      </c>
      <c r="BU49" s="83" t="e">
        <f>$AG49*#REF!</f>
        <v>#REF!</v>
      </c>
      <c r="BV49" s="83" t="e">
        <f>$AG49*#REF!</f>
        <v>#REF!</v>
      </c>
      <c r="BW49" s="83" t="e">
        <f>$AG49*#REF!</f>
        <v>#REF!</v>
      </c>
      <c r="BX49" s="83" t="e">
        <f>$AG49*#REF!</f>
        <v>#REF!</v>
      </c>
      <c r="BY49" s="83" t="e">
        <f>$AG49*#REF!</f>
        <v>#REF!</v>
      </c>
      <c r="BZ49" s="83" t="e">
        <f>$AG49*#REF!</f>
        <v>#REF!</v>
      </c>
      <c r="CA49" s="83" t="e">
        <f>$AG49*#REF!</f>
        <v>#REF!</v>
      </c>
      <c r="CB49" s="83" t="e">
        <f>$AG49*#REF!</f>
        <v>#REF!</v>
      </c>
      <c r="CC49" s="83" t="e">
        <f>$AG49*#REF!</f>
        <v>#REF!</v>
      </c>
      <c r="CD49" s="83" t="e">
        <f>$AG49*#REF!</f>
        <v>#REF!</v>
      </c>
      <c r="CE49" s="83" t="e">
        <f>$AG49*#REF!</f>
        <v>#REF!</v>
      </c>
      <c r="CF49" s="83"/>
      <c r="CI49" s="4">
        <f t="shared" si="25"/>
        <v>0</v>
      </c>
      <c r="CL49" s="4">
        <f t="shared" si="29"/>
        <v>355</v>
      </c>
    </row>
    <row r="50" s="4" customFormat="1" ht="24" customHeight="1" spans="1:90">
      <c r="A50" s="24">
        <v>44621</v>
      </c>
      <c r="B50" s="25" t="s">
        <v>3484</v>
      </c>
      <c r="C50" s="26" t="s">
        <v>63</v>
      </c>
      <c r="D50" s="25">
        <v>4500071735</v>
      </c>
      <c r="E50" s="26"/>
      <c r="F50" s="27" t="s">
        <v>3485</v>
      </c>
      <c r="G50" s="27"/>
      <c r="H50" s="26" t="s">
        <v>3479</v>
      </c>
      <c r="I50" s="26">
        <v>4</v>
      </c>
      <c r="J50" s="26">
        <v>0</v>
      </c>
      <c r="K50" s="26">
        <v>960</v>
      </c>
      <c r="L50" s="49">
        <f>I50</f>
        <v>4</v>
      </c>
      <c r="M50" s="31">
        <v>44693</v>
      </c>
      <c r="N50" s="31" t="s">
        <v>3486</v>
      </c>
      <c r="O50" s="50"/>
      <c r="P50" s="50"/>
      <c r="Q50" s="26"/>
      <c r="R50" s="66" t="s">
        <v>49</v>
      </c>
      <c r="S50" s="66" t="s">
        <v>48</v>
      </c>
      <c r="T50" s="66">
        <v>44665</v>
      </c>
      <c r="U50" s="35" t="s">
        <v>3487</v>
      </c>
      <c r="V50" s="31" t="s">
        <v>478</v>
      </c>
      <c r="W50" s="67">
        <v>1925.4477</v>
      </c>
      <c r="X50" s="68">
        <f t="shared" si="38"/>
        <v>7701.7908</v>
      </c>
      <c r="Y50" s="26"/>
      <c r="Z50" s="26"/>
      <c r="AA50" s="26" t="s">
        <v>3434</v>
      </c>
      <c r="AB50" s="26"/>
      <c r="AC50" s="26">
        <f t="shared" si="36"/>
        <v>-4</v>
      </c>
      <c r="AD50" s="36" t="s">
        <v>55</v>
      </c>
      <c r="AE50" s="26"/>
      <c r="AF50" s="66"/>
      <c r="BK50" s="83" t="e">
        <f>$AG50*#REF!</f>
        <v>#REF!</v>
      </c>
      <c r="BL50" s="83" t="e">
        <f>$AG50*#REF!</f>
        <v>#REF!</v>
      </c>
      <c r="BM50" s="83" t="e">
        <f>$AG50*#REF!</f>
        <v>#REF!</v>
      </c>
      <c r="BN50" s="83" t="e">
        <f>$AG50*#REF!</f>
        <v>#REF!</v>
      </c>
      <c r="BO50" s="83" t="e">
        <f>$AG50*#REF!</f>
        <v>#REF!</v>
      </c>
      <c r="BP50" s="83" t="e">
        <f>$AG50*#REF!</f>
        <v>#REF!</v>
      </c>
      <c r="BQ50" s="83" t="e">
        <f>$AG50*#REF!</f>
        <v>#REF!</v>
      </c>
      <c r="BR50" s="83" t="e">
        <f>$AG50*#REF!</f>
        <v>#REF!</v>
      </c>
      <c r="BS50" s="83" t="e">
        <f>$AG50*#REF!</f>
        <v>#REF!</v>
      </c>
      <c r="BT50" s="83" t="e">
        <f>$AG50*#REF!</f>
        <v>#REF!</v>
      </c>
      <c r="BU50" s="83" t="e">
        <f>$AG50*#REF!</f>
        <v>#REF!</v>
      </c>
      <c r="BV50" s="83" t="e">
        <f>$AG50*#REF!</f>
        <v>#REF!</v>
      </c>
      <c r="BW50" s="83" t="e">
        <f>$AG50*#REF!</f>
        <v>#REF!</v>
      </c>
      <c r="BX50" s="83" t="e">
        <f>$AG50*#REF!</f>
        <v>#REF!</v>
      </c>
      <c r="BY50" s="83" t="e">
        <f>$AG50*#REF!</f>
        <v>#REF!</v>
      </c>
      <c r="BZ50" s="83" t="e">
        <f>$AG50*#REF!</f>
        <v>#REF!</v>
      </c>
      <c r="CA50" s="83" t="e">
        <f>$AG50*#REF!</f>
        <v>#REF!</v>
      </c>
      <c r="CB50" s="83" t="e">
        <f>$AG50*#REF!</f>
        <v>#REF!</v>
      </c>
      <c r="CC50" s="83" t="e">
        <f>$AG50*#REF!</f>
        <v>#REF!</v>
      </c>
      <c r="CD50" s="83" t="e">
        <f>$AG50*#REF!</f>
        <v>#REF!</v>
      </c>
      <c r="CE50" s="83" t="e">
        <f>$AG50*#REF!</f>
        <v>#REF!</v>
      </c>
      <c r="CF50" s="83"/>
      <c r="CI50" s="4">
        <f t="shared" si="25"/>
        <v>0</v>
      </c>
      <c r="CL50" s="4">
        <f t="shared" si="29"/>
        <v>0</v>
      </c>
    </row>
    <row r="51" s="4" customFormat="1" ht="24" customHeight="1" spans="1:90">
      <c r="A51" s="24">
        <v>44621</v>
      </c>
      <c r="B51" s="25" t="s">
        <v>3484</v>
      </c>
      <c r="C51" s="26" t="s">
        <v>63</v>
      </c>
      <c r="D51" s="25">
        <v>4500071735</v>
      </c>
      <c r="E51" s="26"/>
      <c r="F51" s="27" t="s">
        <v>3488</v>
      </c>
      <c r="G51" s="27"/>
      <c r="H51" s="26" t="s">
        <v>3418</v>
      </c>
      <c r="I51" s="26">
        <v>3840</v>
      </c>
      <c r="J51" s="26">
        <v>0</v>
      </c>
      <c r="K51" s="26">
        <v>960</v>
      </c>
      <c r="L51" s="49">
        <f t="shared" ref="L51:L114" si="39">I51/K51</f>
        <v>4</v>
      </c>
      <c r="M51" s="31">
        <v>44693</v>
      </c>
      <c r="N51" s="31" t="s">
        <v>3486</v>
      </c>
      <c r="O51" s="50"/>
      <c r="P51" s="50"/>
      <c r="Q51" s="26"/>
      <c r="R51" s="66" t="s">
        <v>49</v>
      </c>
      <c r="S51" s="66" t="s">
        <v>48</v>
      </c>
      <c r="T51" s="66">
        <v>44665</v>
      </c>
      <c r="U51" s="73"/>
      <c r="V51" s="31" t="s">
        <v>478</v>
      </c>
      <c r="W51" s="67">
        <v>0</v>
      </c>
      <c r="X51" s="68">
        <f t="shared" si="38"/>
        <v>0</v>
      </c>
      <c r="Y51" s="26"/>
      <c r="Z51" s="26"/>
      <c r="AA51" s="26" t="s">
        <v>3434</v>
      </c>
      <c r="AB51" s="26"/>
      <c r="AC51" s="26">
        <f t="shared" si="36"/>
        <v>-3840</v>
      </c>
      <c r="AD51" s="38"/>
      <c r="AE51" s="26"/>
      <c r="AF51" s="66"/>
      <c r="AG51" s="4">
        <f t="shared" ref="AG51:AG53" si="40">I51</f>
        <v>3840</v>
      </c>
      <c r="AM51" s="4">
        <f>I51</f>
        <v>3840</v>
      </c>
      <c r="AN51" s="4">
        <f>I51</f>
        <v>3840</v>
      </c>
      <c r="BG51" s="4">
        <f>I51/8</f>
        <v>480</v>
      </c>
      <c r="BK51" s="83" t="e">
        <f>$AG51*#REF!</f>
        <v>#REF!</v>
      </c>
      <c r="BL51" s="83" t="e">
        <f>$AG51*#REF!</f>
        <v>#REF!</v>
      </c>
      <c r="BM51" s="83" t="e">
        <f>$AG51*#REF!</f>
        <v>#REF!</v>
      </c>
      <c r="BN51" s="83" t="e">
        <f>$AG51*#REF!</f>
        <v>#REF!</v>
      </c>
      <c r="BO51" s="83" t="e">
        <f>$AG51*#REF!</f>
        <v>#REF!</v>
      </c>
      <c r="BP51" s="83" t="e">
        <f>$AG51*#REF!</f>
        <v>#REF!</v>
      </c>
      <c r="BQ51" s="83" t="e">
        <f>$AG51*#REF!</f>
        <v>#REF!</v>
      </c>
      <c r="BR51" s="83" t="e">
        <f>$AG51*#REF!</f>
        <v>#REF!</v>
      </c>
      <c r="BS51" s="83" t="e">
        <f>$AG51*#REF!</f>
        <v>#REF!</v>
      </c>
      <c r="BT51" s="83" t="e">
        <f>$AG51*#REF!</f>
        <v>#REF!</v>
      </c>
      <c r="BU51" s="83" t="e">
        <f>$AG51*#REF!</f>
        <v>#REF!</v>
      </c>
      <c r="BV51" s="83" t="e">
        <f>$AG51*#REF!</f>
        <v>#REF!</v>
      </c>
      <c r="BW51" s="83" t="e">
        <f>$AG51*#REF!</f>
        <v>#REF!</v>
      </c>
      <c r="BX51" s="83" t="e">
        <f>$AG51*#REF!</f>
        <v>#REF!</v>
      </c>
      <c r="BY51" s="83" t="e">
        <f>$AG51*#REF!</f>
        <v>#REF!</v>
      </c>
      <c r="BZ51" s="83" t="e">
        <f>$AG51*#REF!</f>
        <v>#REF!</v>
      </c>
      <c r="CA51" s="83" t="e">
        <f>$AG51*#REF!</f>
        <v>#REF!</v>
      </c>
      <c r="CB51" s="83" t="e">
        <f>$AG51*#REF!</f>
        <v>#REF!</v>
      </c>
      <c r="CC51" s="83" t="e">
        <f>$AG51*#REF!</f>
        <v>#REF!</v>
      </c>
      <c r="CD51" s="83" t="e">
        <f>$AG51*#REF!</f>
        <v>#REF!</v>
      </c>
      <c r="CE51" s="83" t="e">
        <f>$AG51*#REF!</f>
        <v>#REF!</v>
      </c>
      <c r="CF51" s="83"/>
      <c r="CI51" s="4">
        <f t="shared" si="25"/>
        <v>0</v>
      </c>
      <c r="CL51" s="4">
        <f t="shared" si="29"/>
        <v>0</v>
      </c>
    </row>
    <row r="52" s="5" customFormat="1" ht="24" customHeight="1" spans="1:90">
      <c r="A52" s="34">
        <v>44630</v>
      </c>
      <c r="B52" s="35" t="s">
        <v>3442</v>
      </c>
      <c r="C52" s="36" t="s">
        <v>600</v>
      </c>
      <c r="D52" s="35">
        <v>4500072674</v>
      </c>
      <c r="E52" s="36">
        <v>4500845201</v>
      </c>
      <c r="F52" s="32" t="s">
        <v>3436</v>
      </c>
      <c r="G52" s="32"/>
      <c r="H52" s="36" t="s">
        <v>3437</v>
      </c>
      <c r="I52" s="36">
        <v>1980</v>
      </c>
      <c r="J52" s="36">
        <v>0</v>
      </c>
      <c r="K52" s="36">
        <v>36</v>
      </c>
      <c r="L52" s="49">
        <f t="shared" si="39"/>
        <v>55</v>
      </c>
      <c r="M52" s="32">
        <v>44778</v>
      </c>
      <c r="N52" s="32" t="s">
        <v>3464</v>
      </c>
      <c r="O52" s="52"/>
      <c r="P52" s="52"/>
      <c r="Q52" s="36"/>
      <c r="R52" s="72" t="s">
        <v>49</v>
      </c>
      <c r="S52" s="72" t="s">
        <v>58</v>
      </c>
      <c r="T52" s="72" t="s">
        <v>49</v>
      </c>
      <c r="U52" s="35" t="s">
        <v>3465</v>
      </c>
      <c r="V52" s="32" t="s">
        <v>895</v>
      </c>
      <c r="W52" s="70">
        <v>2.0315</v>
      </c>
      <c r="X52" s="71">
        <f t="shared" si="38"/>
        <v>4022.37</v>
      </c>
      <c r="Y52" s="36"/>
      <c r="Z52" s="36"/>
      <c r="AA52" s="26" t="s">
        <v>3434</v>
      </c>
      <c r="AB52" s="36"/>
      <c r="AC52" s="36"/>
      <c r="AD52" s="36"/>
      <c r="AE52" s="36"/>
      <c r="AF52" s="72"/>
      <c r="AG52" s="5">
        <f t="shared" si="40"/>
        <v>1980</v>
      </c>
      <c r="AO52" s="5">
        <f>I52</f>
        <v>1980</v>
      </c>
      <c r="AP52" s="5">
        <f>I52</f>
        <v>1980</v>
      </c>
      <c r="BC52" s="5">
        <f>I52/18</f>
        <v>110</v>
      </c>
      <c r="BK52" s="83" t="e">
        <f>$AG52*#REF!</f>
        <v>#REF!</v>
      </c>
      <c r="BL52" s="83" t="e">
        <f>$AG52*#REF!</f>
        <v>#REF!</v>
      </c>
      <c r="BM52" s="83" t="e">
        <f>$AG52*#REF!</f>
        <v>#REF!</v>
      </c>
      <c r="BN52" s="83" t="e">
        <f>$AG52*#REF!</f>
        <v>#REF!</v>
      </c>
      <c r="BO52" s="83" t="e">
        <f>$AG52*#REF!</f>
        <v>#REF!</v>
      </c>
      <c r="BP52" s="83" t="e">
        <f>$AG52*#REF!</f>
        <v>#REF!</v>
      </c>
      <c r="BQ52" s="83" t="e">
        <f>$AG52*#REF!</f>
        <v>#REF!</v>
      </c>
      <c r="BR52" s="83" t="e">
        <f>$AG52*#REF!</f>
        <v>#REF!</v>
      </c>
      <c r="BS52" s="83" t="e">
        <f>$AG52*#REF!</f>
        <v>#REF!</v>
      </c>
      <c r="BT52" s="83" t="e">
        <f>$AG52*#REF!</f>
        <v>#REF!</v>
      </c>
      <c r="BU52" s="83" t="e">
        <f>$AG52*#REF!</f>
        <v>#REF!</v>
      </c>
      <c r="BV52" s="83" t="e">
        <f>$AG52*#REF!</f>
        <v>#REF!</v>
      </c>
      <c r="BW52" s="83" t="e">
        <f>$AG52*#REF!</f>
        <v>#REF!</v>
      </c>
      <c r="BX52" s="83" t="e">
        <f>$AG52*#REF!</f>
        <v>#REF!</v>
      </c>
      <c r="BY52" s="83" t="e">
        <f>$AG52*#REF!</f>
        <v>#REF!</v>
      </c>
      <c r="BZ52" s="83" t="e">
        <f>$AG52*#REF!</f>
        <v>#REF!</v>
      </c>
      <c r="CA52" s="83" t="e">
        <f>$AG52*#REF!</f>
        <v>#REF!</v>
      </c>
      <c r="CB52" s="83" t="e">
        <f>$AG52*#REF!</f>
        <v>#REF!</v>
      </c>
      <c r="CC52" s="83" t="e">
        <f>$AG52*#REF!</f>
        <v>#REF!</v>
      </c>
      <c r="CD52" s="83" t="e">
        <f>$AG52*#REF!</f>
        <v>#REF!</v>
      </c>
      <c r="CE52" s="83" t="e">
        <f>$AG52*#REF!</f>
        <v>#REF!</v>
      </c>
      <c r="CF52" s="83"/>
      <c r="CG52" s="4"/>
      <c r="CH52" s="4"/>
      <c r="CI52" s="4">
        <f t="shared" si="25"/>
        <v>0</v>
      </c>
      <c r="CJ52" s="4"/>
      <c r="CK52" s="4"/>
      <c r="CL52" s="4">
        <f t="shared" si="29"/>
        <v>0</v>
      </c>
    </row>
    <row r="53" s="4" customFormat="1" ht="24" customHeight="1" spans="1:90">
      <c r="A53" s="24">
        <v>44693</v>
      </c>
      <c r="B53" s="25" t="s">
        <v>3489</v>
      </c>
      <c r="C53" s="26" t="s">
        <v>84</v>
      </c>
      <c r="D53" s="25">
        <v>4500078773</v>
      </c>
      <c r="E53" s="26" t="s">
        <v>3490</v>
      </c>
      <c r="F53" s="27" t="s">
        <v>3436</v>
      </c>
      <c r="G53" s="37"/>
      <c r="H53" s="38" t="s">
        <v>3418</v>
      </c>
      <c r="I53" s="26">
        <v>2016</v>
      </c>
      <c r="J53" s="26">
        <v>0</v>
      </c>
      <c r="K53" s="26">
        <v>36</v>
      </c>
      <c r="L53" s="49">
        <f t="shared" si="39"/>
        <v>56</v>
      </c>
      <c r="M53" s="31">
        <v>44729</v>
      </c>
      <c r="N53" s="32" t="s">
        <v>3491</v>
      </c>
      <c r="O53" s="50"/>
      <c r="P53" s="50"/>
      <c r="Q53" s="26"/>
      <c r="R53" s="66" t="s">
        <v>49</v>
      </c>
      <c r="S53" s="66" t="s">
        <v>58</v>
      </c>
      <c r="T53" s="66" t="s">
        <v>58</v>
      </c>
      <c r="U53" s="73" t="s">
        <v>3492</v>
      </c>
      <c r="V53" s="31" t="s">
        <v>3493</v>
      </c>
      <c r="W53" s="69">
        <v>2.0096</v>
      </c>
      <c r="X53" s="68">
        <f t="shared" si="38"/>
        <v>4051.3536</v>
      </c>
      <c r="Y53" s="26"/>
      <c r="Z53" s="26"/>
      <c r="AA53" s="26"/>
      <c r="AB53" s="26"/>
      <c r="AC53" s="26"/>
      <c r="AD53" s="36" t="s">
        <v>58</v>
      </c>
      <c r="AE53" s="26"/>
      <c r="AF53" s="66"/>
      <c r="AG53" s="4">
        <f t="shared" si="40"/>
        <v>2016</v>
      </c>
      <c r="AK53" s="4">
        <f>I53</f>
        <v>2016</v>
      </c>
      <c r="AL53" s="4">
        <f>I53</f>
        <v>2016</v>
      </c>
      <c r="AZ53" s="4">
        <f>I53/18</f>
        <v>112</v>
      </c>
      <c r="BK53" s="83" t="e">
        <f>$AG53*#REF!</f>
        <v>#REF!</v>
      </c>
      <c r="BL53" s="83" t="e">
        <f>$AG53*#REF!</f>
        <v>#REF!</v>
      </c>
      <c r="BM53" s="83" t="e">
        <f>$AG53*#REF!</f>
        <v>#REF!</v>
      </c>
      <c r="BN53" s="83" t="e">
        <f>$AG53*#REF!</f>
        <v>#REF!</v>
      </c>
      <c r="BO53" s="83" t="e">
        <f>$AG53*#REF!</f>
        <v>#REF!</v>
      </c>
      <c r="BP53" s="83" t="e">
        <f>$AG53*#REF!</f>
        <v>#REF!</v>
      </c>
      <c r="BQ53" s="83" t="e">
        <f>$AG53*#REF!</f>
        <v>#REF!</v>
      </c>
      <c r="BR53" s="83" t="e">
        <f>$AG53*#REF!</f>
        <v>#REF!</v>
      </c>
      <c r="BS53" s="83" t="e">
        <f>$AG53*#REF!</f>
        <v>#REF!</v>
      </c>
      <c r="BT53" s="83" t="e">
        <f>$AG53*#REF!</f>
        <v>#REF!</v>
      </c>
      <c r="BU53" s="83" t="e">
        <f>$AG53*#REF!</f>
        <v>#REF!</v>
      </c>
      <c r="BV53" s="83" t="e">
        <f>$AG53*#REF!</f>
        <v>#REF!</v>
      </c>
      <c r="BW53" s="83" t="e">
        <f>$AG53*#REF!</f>
        <v>#REF!</v>
      </c>
      <c r="BX53" s="83" t="e">
        <f>$AG53*#REF!</f>
        <v>#REF!</v>
      </c>
      <c r="BY53" s="83" t="e">
        <f>$AG53*#REF!</f>
        <v>#REF!</v>
      </c>
      <c r="BZ53" s="83" t="e">
        <f>$AG53*#REF!</f>
        <v>#REF!</v>
      </c>
      <c r="CA53" s="83" t="e">
        <f>$AG53*#REF!</f>
        <v>#REF!</v>
      </c>
      <c r="CB53" s="83" t="e">
        <f>$AG53*#REF!</f>
        <v>#REF!</v>
      </c>
      <c r="CC53" s="83" t="e">
        <f>$AG53*#REF!</f>
        <v>#REF!</v>
      </c>
      <c r="CD53" s="83" t="e">
        <f>$AG53*#REF!</f>
        <v>#REF!</v>
      </c>
      <c r="CE53" s="83" t="e">
        <f>$AG53*#REF!</f>
        <v>#REF!</v>
      </c>
      <c r="CF53" s="83"/>
      <c r="CI53" s="4">
        <f t="shared" si="25"/>
        <v>0</v>
      </c>
      <c r="CL53" s="4">
        <f t="shared" si="29"/>
        <v>112</v>
      </c>
    </row>
    <row r="54" s="4" customFormat="1" ht="24" customHeight="1" spans="1:90">
      <c r="A54" s="24">
        <v>44663</v>
      </c>
      <c r="B54" s="25" t="s">
        <v>1186</v>
      </c>
      <c r="C54" s="26" t="s">
        <v>84</v>
      </c>
      <c r="D54" s="25">
        <v>4500075834</v>
      </c>
      <c r="E54" s="26">
        <v>4231913188</v>
      </c>
      <c r="F54" s="27" t="s">
        <v>3478</v>
      </c>
      <c r="G54" s="37"/>
      <c r="H54" s="38" t="s">
        <v>3479</v>
      </c>
      <c r="I54" s="26">
        <v>5</v>
      </c>
      <c r="J54" s="26">
        <v>0</v>
      </c>
      <c r="K54" s="26">
        <v>1</v>
      </c>
      <c r="L54" s="49">
        <f t="shared" si="39"/>
        <v>5</v>
      </c>
      <c r="M54" s="31">
        <v>44692</v>
      </c>
      <c r="N54" s="32" t="s">
        <v>3457</v>
      </c>
      <c r="O54" s="50"/>
      <c r="P54" s="50"/>
      <c r="Q54" s="26"/>
      <c r="R54" s="66">
        <v>44664</v>
      </c>
      <c r="S54" s="66" t="s">
        <v>48</v>
      </c>
      <c r="T54" s="66">
        <v>44679</v>
      </c>
      <c r="U54" s="73" t="s">
        <v>3494</v>
      </c>
      <c r="V54" s="31" t="s">
        <v>3417</v>
      </c>
      <c r="W54" s="69">
        <v>2138.4117</v>
      </c>
      <c r="X54" s="68">
        <f t="shared" si="38"/>
        <v>10692.0585</v>
      </c>
      <c r="Y54" s="26"/>
      <c r="Z54" s="26"/>
      <c r="AA54" s="26" t="s">
        <v>3434</v>
      </c>
      <c r="AB54" s="26"/>
      <c r="AC54" s="26">
        <f>AB54-I54</f>
        <v>-5</v>
      </c>
      <c r="AD54" s="36"/>
      <c r="AE54" s="26"/>
      <c r="AF54" s="66"/>
      <c r="BK54" s="83" t="e">
        <f>$AG54*#REF!</f>
        <v>#REF!</v>
      </c>
      <c r="BL54" s="83" t="e">
        <f>$AG54*#REF!</f>
        <v>#REF!</v>
      </c>
      <c r="BM54" s="83" t="e">
        <f>$AG54*#REF!</f>
        <v>#REF!</v>
      </c>
      <c r="BN54" s="83" t="e">
        <f>$AG54*#REF!</f>
        <v>#REF!</v>
      </c>
      <c r="BO54" s="83" t="e">
        <f>$AG54*#REF!</f>
        <v>#REF!</v>
      </c>
      <c r="BP54" s="83" t="e">
        <f>$AG54*#REF!</f>
        <v>#REF!</v>
      </c>
      <c r="BQ54" s="83" t="e">
        <f>$AG54*#REF!</f>
        <v>#REF!</v>
      </c>
      <c r="BR54" s="83" t="e">
        <f>$AG54*#REF!</f>
        <v>#REF!</v>
      </c>
      <c r="BS54" s="83" t="e">
        <f>$AG54*#REF!</f>
        <v>#REF!</v>
      </c>
      <c r="BT54" s="83" t="e">
        <f>$AG54*#REF!</f>
        <v>#REF!</v>
      </c>
      <c r="BU54" s="83" t="e">
        <f>$AG54*#REF!</f>
        <v>#REF!</v>
      </c>
      <c r="BV54" s="83" t="e">
        <f>$AG54*#REF!</f>
        <v>#REF!</v>
      </c>
      <c r="BW54" s="83" t="e">
        <f>$AG54*#REF!</f>
        <v>#REF!</v>
      </c>
      <c r="BX54" s="83" t="e">
        <f>$AG54*#REF!</f>
        <v>#REF!</v>
      </c>
      <c r="BY54" s="83" t="e">
        <f>$AG54*#REF!</f>
        <v>#REF!</v>
      </c>
      <c r="BZ54" s="83" t="e">
        <f>$AG54*#REF!</f>
        <v>#REF!</v>
      </c>
      <c r="CA54" s="83" t="e">
        <f>$AG54*#REF!</f>
        <v>#REF!</v>
      </c>
      <c r="CB54" s="83" t="e">
        <f>$AG54*#REF!</f>
        <v>#REF!</v>
      </c>
      <c r="CC54" s="83" t="e">
        <f>$AG54*#REF!</f>
        <v>#REF!</v>
      </c>
      <c r="CD54" s="83" t="e">
        <f>$AG54*#REF!</f>
        <v>#REF!</v>
      </c>
      <c r="CE54" s="83" t="e">
        <f>$AG54*#REF!</f>
        <v>#REF!</v>
      </c>
      <c r="CF54" s="83"/>
      <c r="CI54" s="4">
        <f t="shared" si="25"/>
        <v>0</v>
      </c>
      <c r="CL54" s="4">
        <f t="shared" si="29"/>
        <v>0</v>
      </c>
    </row>
    <row r="55" s="4" customFormat="1" ht="24" customHeight="1" spans="1:90">
      <c r="A55" s="24">
        <v>44663</v>
      </c>
      <c r="B55" s="25" t="s">
        <v>1186</v>
      </c>
      <c r="C55" s="26" t="s">
        <v>84</v>
      </c>
      <c r="D55" s="25">
        <v>4500075834</v>
      </c>
      <c r="E55" s="26">
        <v>4231913188</v>
      </c>
      <c r="F55" s="27" t="s">
        <v>3462</v>
      </c>
      <c r="G55" s="37"/>
      <c r="H55" s="38" t="s">
        <v>3418</v>
      </c>
      <c r="I55" s="26">
        <v>5400</v>
      </c>
      <c r="J55" s="26">
        <v>0</v>
      </c>
      <c r="K55" s="26">
        <v>1080</v>
      </c>
      <c r="L55" s="49">
        <f t="shared" si="39"/>
        <v>5</v>
      </c>
      <c r="M55" s="31">
        <v>44692</v>
      </c>
      <c r="N55" s="32" t="s">
        <v>3457</v>
      </c>
      <c r="O55" s="50"/>
      <c r="P55" s="50"/>
      <c r="Q55" s="26"/>
      <c r="R55" s="66">
        <v>44664</v>
      </c>
      <c r="S55" s="66" t="s">
        <v>48</v>
      </c>
      <c r="T55" s="66">
        <v>44679</v>
      </c>
      <c r="U55" s="73"/>
      <c r="V55" s="31" t="s">
        <v>3417</v>
      </c>
      <c r="W55" s="69">
        <v>0</v>
      </c>
      <c r="X55" s="68">
        <v>0</v>
      </c>
      <c r="Y55" s="26"/>
      <c r="Z55" s="26"/>
      <c r="AA55" s="26" t="s">
        <v>3434</v>
      </c>
      <c r="AB55" s="26"/>
      <c r="AC55" s="26">
        <f>AB55-I55</f>
        <v>-5400</v>
      </c>
      <c r="AD55" s="36"/>
      <c r="AE55" s="26"/>
      <c r="AF55" s="66"/>
      <c r="AG55" s="4">
        <f t="shared" ref="AG55:AG59" si="41">I55</f>
        <v>5400</v>
      </c>
      <c r="AM55" s="4">
        <f t="shared" ref="AM55:AM59" si="42">I55</f>
        <v>5400</v>
      </c>
      <c r="AN55" s="4">
        <f t="shared" ref="AN55:AN59" si="43">I55</f>
        <v>5400</v>
      </c>
      <c r="BA55" s="4">
        <f t="shared" ref="BA55:BA59" si="44">I55/18</f>
        <v>300</v>
      </c>
      <c r="BK55" s="83" t="e">
        <f>$AG55*#REF!</f>
        <v>#REF!</v>
      </c>
      <c r="BL55" s="83" t="e">
        <f>$AG55*#REF!</f>
        <v>#REF!</v>
      </c>
      <c r="BM55" s="83" t="e">
        <f>$AG55*#REF!</f>
        <v>#REF!</v>
      </c>
      <c r="BN55" s="83" t="e">
        <f>$AG55*#REF!</f>
        <v>#REF!</v>
      </c>
      <c r="BO55" s="83" t="e">
        <f>$AG55*#REF!</f>
        <v>#REF!</v>
      </c>
      <c r="BP55" s="83" t="e">
        <f>$AG55*#REF!</f>
        <v>#REF!</v>
      </c>
      <c r="BQ55" s="83" t="e">
        <f>$AG55*#REF!</f>
        <v>#REF!</v>
      </c>
      <c r="BR55" s="83" t="e">
        <f>$AG55*#REF!</f>
        <v>#REF!</v>
      </c>
      <c r="BS55" s="83" t="e">
        <f>$AG55*#REF!</f>
        <v>#REF!</v>
      </c>
      <c r="BT55" s="83" t="e">
        <f>$AG55*#REF!</f>
        <v>#REF!</v>
      </c>
      <c r="BU55" s="83" t="e">
        <f>$AG55*#REF!</f>
        <v>#REF!</v>
      </c>
      <c r="BV55" s="83" t="e">
        <f>$AG55*#REF!</f>
        <v>#REF!</v>
      </c>
      <c r="BW55" s="83" t="e">
        <f>$AG55*#REF!</f>
        <v>#REF!</v>
      </c>
      <c r="BX55" s="83" t="e">
        <f>$AG55*#REF!</f>
        <v>#REF!</v>
      </c>
      <c r="BY55" s="83" t="e">
        <f>$AG55*#REF!</f>
        <v>#REF!</v>
      </c>
      <c r="BZ55" s="83" t="e">
        <f>$AG55*#REF!</f>
        <v>#REF!</v>
      </c>
      <c r="CA55" s="83" t="e">
        <f>$AG55*#REF!</f>
        <v>#REF!</v>
      </c>
      <c r="CB55" s="83" t="e">
        <f>$AG55*#REF!</f>
        <v>#REF!</v>
      </c>
      <c r="CC55" s="83" t="e">
        <f>$AG55*#REF!</f>
        <v>#REF!</v>
      </c>
      <c r="CD55" s="83" t="e">
        <f>$AG55*#REF!</f>
        <v>#REF!</v>
      </c>
      <c r="CE55" s="83" t="e">
        <f>$AG55*#REF!</f>
        <v>#REF!</v>
      </c>
      <c r="CF55" s="83"/>
      <c r="CI55" s="4">
        <f t="shared" si="25"/>
        <v>0</v>
      </c>
      <c r="CL55" s="4">
        <f t="shared" si="29"/>
        <v>300</v>
      </c>
    </row>
    <row r="56" s="4" customFormat="1" ht="24" customHeight="1" spans="1:90">
      <c r="A56" s="24">
        <v>44663</v>
      </c>
      <c r="B56" s="25" t="s">
        <v>1186</v>
      </c>
      <c r="C56" s="26" t="s">
        <v>84</v>
      </c>
      <c r="D56" s="25">
        <v>4500075835</v>
      </c>
      <c r="E56" s="26">
        <v>4231913186</v>
      </c>
      <c r="F56" s="27" t="s">
        <v>3478</v>
      </c>
      <c r="G56" s="37"/>
      <c r="H56" s="38" t="s">
        <v>3479</v>
      </c>
      <c r="I56" s="26">
        <v>9</v>
      </c>
      <c r="J56" s="26">
        <v>0</v>
      </c>
      <c r="K56" s="26">
        <v>1</v>
      </c>
      <c r="L56" s="49">
        <f t="shared" si="39"/>
        <v>9</v>
      </c>
      <c r="M56" s="31">
        <v>44692</v>
      </c>
      <c r="N56" s="32" t="s">
        <v>3457</v>
      </c>
      <c r="O56" s="50"/>
      <c r="P56" s="50"/>
      <c r="Q56" s="26"/>
      <c r="R56" s="66">
        <v>44664</v>
      </c>
      <c r="S56" s="66" t="s">
        <v>48</v>
      </c>
      <c r="T56" s="66">
        <v>44679</v>
      </c>
      <c r="U56" s="73" t="s">
        <v>3494</v>
      </c>
      <c r="V56" s="31" t="s">
        <v>3417</v>
      </c>
      <c r="W56" s="69">
        <v>2138.4117</v>
      </c>
      <c r="X56" s="68">
        <f t="shared" ref="X56:X60" si="45">I56*W56</f>
        <v>19245.7053</v>
      </c>
      <c r="Y56" s="26"/>
      <c r="Z56" s="26"/>
      <c r="AA56" s="26" t="s">
        <v>3434</v>
      </c>
      <c r="AB56" s="26"/>
      <c r="AC56" s="26"/>
      <c r="AD56" s="36"/>
      <c r="AE56" s="26"/>
      <c r="AF56" s="66"/>
      <c r="BK56" s="83" t="e">
        <f>$AG56*#REF!</f>
        <v>#REF!</v>
      </c>
      <c r="BL56" s="83" t="e">
        <f>$AG56*#REF!</f>
        <v>#REF!</v>
      </c>
      <c r="BM56" s="83" t="e">
        <f>$AG56*#REF!</f>
        <v>#REF!</v>
      </c>
      <c r="BN56" s="83" t="e">
        <f>$AG56*#REF!</f>
        <v>#REF!</v>
      </c>
      <c r="BO56" s="83" t="e">
        <f>$AG56*#REF!</f>
        <v>#REF!</v>
      </c>
      <c r="BP56" s="83" t="e">
        <f>$AG56*#REF!</f>
        <v>#REF!</v>
      </c>
      <c r="BQ56" s="83" t="e">
        <f>$AG56*#REF!</f>
        <v>#REF!</v>
      </c>
      <c r="BR56" s="83" t="e">
        <f>$AG56*#REF!</f>
        <v>#REF!</v>
      </c>
      <c r="BS56" s="83" t="e">
        <f>$AG56*#REF!</f>
        <v>#REF!</v>
      </c>
      <c r="BT56" s="83" t="e">
        <f>$AG56*#REF!</f>
        <v>#REF!</v>
      </c>
      <c r="BU56" s="83" t="e">
        <f>$AG56*#REF!</f>
        <v>#REF!</v>
      </c>
      <c r="BV56" s="83" t="e">
        <f>$AG56*#REF!</f>
        <v>#REF!</v>
      </c>
      <c r="BW56" s="83" t="e">
        <f>$AG56*#REF!</f>
        <v>#REF!</v>
      </c>
      <c r="BX56" s="83" t="e">
        <f>$AG56*#REF!</f>
        <v>#REF!</v>
      </c>
      <c r="BY56" s="83" t="e">
        <f>$AG56*#REF!</f>
        <v>#REF!</v>
      </c>
      <c r="BZ56" s="83" t="e">
        <f>$AG56*#REF!</f>
        <v>#REF!</v>
      </c>
      <c r="CA56" s="83" t="e">
        <f>$AG56*#REF!</f>
        <v>#REF!</v>
      </c>
      <c r="CB56" s="83" t="e">
        <f>$AG56*#REF!</f>
        <v>#REF!</v>
      </c>
      <c r="CC56" s="83" t="e">
        <f>$AG56*#REF!</f>
        <v>#REF!</v>
      </c>
      <c r="CD56" s="83" t="e">
        <f>$AG56*#REF!</f>
        <v>#REF!</v>
      </c>
      <c r="CE56" s="83" t="e">
        <f>$AG56*#REF!</f>
        <v>#REF!</v>
      </c>
      <c r="CF56" s="83"/>
      <c r="CI56" s="4">
        <f t="shared" si="25"/>
        <v>0</v>
      </c>
      <c r="CL56" s="4">
        <f t="shared" si="29"/>
        <v>0</v>
      </c>
    </row>
    <row r="57" s="4" customFormat="1" ht="24" customHeight="1" spans="1:90">
      <c r="A57" s="24">
        <v>44663</v>
      </c>
      <c r="B57" s="25" t="s">
        <v>1186</v>
      </c>
      <c r="C57" s="26" t="s">
        <v>84</v>
      </c>
      <c r="D57" s="25">
        <v>4500075835</v>
      </c>
      <c r="E57" s="26">
        <v>4231913186</v>
      </c>
      <c r="F57" s="27" t="s">
        <v>3462</v>
      </c>
      <c r="G57" s="37"/>
      <c r="H57" s="38" t="s">
        <v>3418</v>
      </c>
      <c r="I57" s="26">
        <v>9720</v>
      </c>
      <c r="J57" s="26">
        <v>0</v>
      </c>
      <c r="K57" s="26">
        <v>1080</v>
      </c>
      <c r="L57" s="49">
        <f t="shared" si="39"/>
        <v>9</v>
      </c>
      <c r="M57" s="31">
        <v>44692</v>
      </c>
      <c r="N57" s="32" t="s">
        <v>3457</v>
      </c>
      <c r="O57" s="50"/>
      <c r="P57" s="50"/>
      <c r="Q57" s="26"/>
      <c r="R57" s="66">
        <v>44664</v>
      </c>
      <c r="S57" s="66" t="s">
        <v>48</v>
      </c>
      <c r="T57" s="66">
        <v>44679</v>
      </c>
      <c r="U57" s="73"/>
      <c r="V57" s="31" t="s">
        <v>3417</v>
      </c>
      <c r="W57" s="69">
        <v>0</v>
      </c>
      <c r="X57" s="68">
        <v>0</v>
      </c>
      <c r="Y57" s="26"/>
      <c r="Z57" s="26"/>
      <c r="AA57" s="26" t="s">
        <v>3434</v>
      </c>
      <c r="AB57" s="26"/>
      <c r="AC57" s="26"/>
      <c r="AD57" s="36"/>
      <c r="AE57" s="26"/>
      <c r="AF57" s="66"/>
      <c r="AG57" s="4">
        <f t="shared" si="41"/>
        <v>9720</v>
      </c>
      <c r="AM57" s="4">
        <f t="shared" si="42"/>
        <v>9720</v>
      </c>
      <c r="AN57" s="4">
        <f t="shared" si="43"/>
        <v>9720</v>
      </c>
      <c r="BA57" s="4">
        <f t="shared" si="44"/>
        <v>540</v>
      </c>
      <c r="BK57" s="83" t="e">
        <f>$AG57*#REF!</f>
        <v>#REF!</v>
      </c>
      <c r="BL57" s="83" t="e">
        <f>$AG57*#REF!</f>
        <v>#REF!</v>
      </c>
      <c r="BM57" s="83" t="e">
        <f>$AG57*#REF!</f>
        <v>#REF!</v>
      </c>
      <c r="BN57" s="83" t="e">
        <f>$AG57*#REF!</f>
        <v>#REF!</v>
      </c>
      <c r="BO57" s="83" t="e">
        <f>$AG57*#REF!</f>
        <v>#REF!</v>
      </c>
      <c r="BP57" s="83" t="e">
        <f>$AG57*#REF!</f>
        <v>#REF!</v>
      </c>
      <c r="BQ57" s="83" t="e">
        <f>$AG57*#REF!</f>
        <v>#REF!</v>
      </c>
      <c r="BR57" s="83" t="e">
        <f>$AG57*#REF!</f>
        <v>#REF!</v>
      </c>
      <c r="BS57" s="83" t="e">
        <f>$AG57*#REF!</f>
        <v>#REF!</v>
      </c>
      <c r="BT57" s="83" t="e">
        <f>$AG57*#REF!</f>
        <v>#REF!</v>
      </c>
      <c r="BU57" s="83" t="e">
        <f>$AG57*#REF!</f>
        <v>#REF!</v>
      </c>
      <c r="BV57" s="83" t="e">
        <f>$AG57*#REF!</f>
        <v>#REF!</v>
      </c>
      <c r="BW57" s="83" t="e">
        <f>$AG57*#REF!</f>
        <v>#REF!</v>
      </c>
      <c r="BX57" s="83" t="e">
        <f>$AG57*#REF!</f>
        <v>#REF!</v>
      </c>
      <c r="BY57" s="83" t="e">
        <f>$AG57*#REF!</f>
        <v>#REF!</v>
      </c>
      <c r="BZ57" s="83" t="e">
        <f>$AG57*#REF!</f>
        <v>#REF!</v>
      </c>
      <c r="CA57" s="83" t="e">
        <f>$AG57*#REF!</f>
        <v>#REF!</v>
      </c>
      <c r="CB57" s="83" t="e">
        <f>$AG57*#REF!</f>
        <v>#REF!</v>
      </c>
      <c r="CC57" s="83" t="e">
        <f>$AG57*#REF!</f>
        <v>#REF!</v>
      </c>
      <c r="CD57" s="83" t="e">
        <f>$AG57*#REF!</f>
        <v>#REF!</v>
      </c>
      <c r="CE57" s="83" t="e">
        <f>$AG57*#REF!</f>
        <v>#REF!</v>
      </c>
      <c r="CF57" s="83"/>
      <c r="CI57" s="4">
        <f t="shared" si="25"/>
        <v>0</v>
      </c>
      <c r="CL57" s="4">
        <f t="shared" si="29"/>
        <v>540</v>
      </c>
    </row>
    <row r="58" s="4" customFormat="1" ht="24" customHeight="1" spans="1:90">
      <c r="A58" s="24">
        <v>44663</v>
      </c>
      <c r="B58" s="25" t="s">
        <v>1186</v>
      </c>
      <c r="C58" s="26" t="s">
        <v>84</v>
      </c>
      <c r="D58" s="25">
        <v>4500075837</v>
      </c>
      <c r="E58" s="26" t="s">
        <v>3495</v>
      </c>
      <c r="F58" s="27" t="s">
        <v>3478</v>
      </c>
      <c r="G58" s="37"/>
      <c r="H58" s="38" t="s">
        <v>3479</v>
      </c>
      <c r="I58" s="26">
        <v>6</v>
      </c>
      <c r="J58" s="26">
        <v>0</v>
      </c>
      <c r="K58" s="26">
        <v>1</v>
      </c>
      <c r="L58" s="49">
        <f t="shared" si="39"/>
        <v>6</v>
      </c>
      <c r="M58" s="31">
        <v>44692</v>
      </c>
      <c r="N58" s="32" t="s">
        <v>3457</v>
      </c>
      <c r="O58" s="50"/>
      <c r="P58" s="50"/>
      <c r="Q58" s="26"/>
      <c r="R58" s="66">
        <v>44664</v>
      </c>
      <c r="S58" s="66" t="s">
        <v>48</v>
      </c>
      <c r="T58" s="66">
        <v>44679</v>
      </c>
      <c r="U58" s="73" t="s">
        <v>3494</v>
      </c>
      <c r="V58" s="31" t="s">
        <v>3417</v>
      </c>
      <c r="W58" s="69">
        <v>2138.4117</v>
      </c>
      <c r="X58" s="68">
        <f t="shared" si="45"/>
        <v>12830.4702</v>
      </c>
      <c r="Y58" s="26"/>
      <c r="Z58" s="26"/>
      <c r="AA58" s="26" t="s">
        <v>3434</v>
      </c>
      <c r="AB58" s="26"/>
      <c r="AC58" s="26"/>
      <c r="AD58" s="36"/>
      <c r="AE58" s="26"/>
      <c r="AF58" s="66"/>
      <c r="BK58" s="83" t="e">
        <f>$AG58*#REF!</f>
        <v>#REF!</v>
      </c>
      <c r="BL58" s="83" t="e">
        <f>$AG58*#REF!</f>
        <v>#REF!</v>
      </c>
      <c r="BM58" s="83" t="e">
        <f>$AG58*#REF!</f>
        <v>#REF!</v>
      </c>
      <c r="BN58" s="83" t="e">
        <f>$AG58*#REF!</f>
        <v>#REF!</v>
      </c>
      <c r="BO58" s="83" t="e">
        <f>$AG58*#REF!</f>
        <v>#REF!</v>
      </c>
      <c r="BP58" s="83" t="e">
        <f>$AG58*#REF!</f>
        <v>#REF!</v>
      </c>
      <c r="BQ58" s="83" t="e">
        <f>$AG58*#REF!</f>
        <v>#REF!</v>
      </c>
      <c r="BR58" s="83" t="e">
        <f>$AG58*#REF!</f>
        <v>#REF!</v>
      </c>
      <c r="BS58" s="83" t="e">
        <f>$AG58*#REF!</f>
        <v>#REF!</v>
      </c>
      <c r="BT58" s="83" t="e">
        <f>$AG58*#REF!</f>
        <v>#REF!</v>
      </c>
      <c r="BU58" s="83" t="e">
        <f>$AG58*#REF!</f>
        <v>#REF!</v>
      </c>
      <c r="BV58" s="83" t="e">
        <f>$AG58*#REF!</f>
        <v>#REF!</v>
      </c>
      <c r="BW58" s="83" t="e">
        <f>$AG58*#REF!</f>
        <v>#REF!</v>
      </c>
      <c r="BX58" s="83" t="e">
        <f>$AG58*#REF!</f>
        <v>#REF!</v>
      </c>
      <c r="BY58" s="83" t="e">
        <f>$AG58*#REF!</f>
        <v>#REF!</v>
      </c>
      <c r="BZ58" s="83" t="e">
        <f>$AG58*#REF!</f>
        <v>#REF!</v>
      </c>
      <c r="CA58" s="83" t="e">
        <f>$AG58*#REF!</f>
        <v>#REF!</v>
      </c>
      <c r="CB58" s="83" t="e">
        <f>$AG58*#REF!</f>
        <v>#REF!</v>
      </c>
      <c r="CC58" s="83" t="e">
        <f>$AG58*#REF!</f>
        <v>#REF!</v>
      </c>
      <c r="CD58" s="83" t="e">
        <f>$AG58*#REF!</f>
        <v>#REF!</v>
      </c>
      <c r="CE58" s="83" t="e">
        <f>$AG58*#REF!</f>
        <v>#REF!</v>
      </c>
      <c r="CF58" s="83"/>
      <c r="CI58" s="4">
        <f t="shared" si="25"/>
        <v>0</v>
      </c>
      <c r="CL58" s="4">
        <f t="shared" si="29"/>
        <v>0</v>
      </c>
    </row>
    <row r="59" s="4" customFormat="1" ht="24" customHeight="1" spans="1:90">
      <c r="A59" s="24">
        <v>44663</v>
      </c>
      <c r="B59" s="25" t="s">
        <v>1186</v>
      </c>
      <c r="C59" s="26" t="s">
        <v>84</v>
      </c>
      <c r="D59" s="25">
        <v>4500075837</v>
      </c>
      <c r="E59" s="26" t="s">
        <v>3495</v>
      </c>
      <c r="F59" s="27" t="s">
        <v>3462</v>
      </c>
      <c r="G59" s="37"/>
      <c r="H59" s="38" t="s">
        <v>3418</v>
      </c>
      <c r="I59" s="26">
        <v>6480</v>
      </c>
      <c r="J59" s="26">
        <v>0</v>
      </c>
      <c r="K59" s="26">
        <v>1080</v>
      </c>
      <c r="L59" s="49">
        <f t="shared" si="39"/>
        <v>6</v>
      </c>
      <c r="M59" s="31">
        <v>44692</v>
      </c>
      <c r="N59" s="32" t="s">
        <v>3457</v>
      </c>
      <c r="O59" s="50"/>
      <c r="P59" s="50"/>
      <c r="Q59" s="26"/>
      <c r="R59" s="66">
        <v>44664</v>
      </c>
      <c r="S59" s="66" t="s">
        <v>48</v>
      </c>
      <c r="T59" s="66">
        <v>44679</v>
      </c>
      <c r="U59" s="73"/>
      <c r="V59" s="31" t="s">
        <v>3417</v>
      </c>
      <c r="W59" s="69">
        <v>0</v>
      </c>
      <c r="X59" s="68">
        <v>0</v>
      </c>
      <c r="Y59" s="26"/>
      <c r="Z59" s="26"/>
      <c r="AA59" s="26" t="s">
        <v>3434</v>
      </c>
      <c r="AB59" s="26"/>
      <c r="AC59" s="26"/>
      <c r="AD59" s="36"/>
      <c r="AE59" s="26"/>
      <c r="AF59" s="66"/>
      <c r="AG59" s="4">
        <f t="shared" si="41"/>
        <v>6480</v>
      </c>
      <c r="AM59" s="4">
        <f t="shared" si="42"/>
        <v>6480</v>
      </c>
      <c r="AN59" s="4">
        <f t="shared" si="43"/>
        <v>6480</v>
      </c>
      <c r="BA59" s="4">
        <f t="shared" si="44"/>
        <v>360</v>
      </c>
      <c r="BK59" s="83" t="e">
        <f>$AG59*#REF!</f>
        <v>#REF!</v>
      </c>
      <c r="BL59" s="83" t="e">
        <f>$AG59*#REF!</f>
        <v>#REF!</v>
      </c>
      <c r="BM59" s="83" t="e">
        <f>$AG59*#REF!</f>
        <v>#REF!</v>
      </c>
      <c r="BN59" s="83" t="e">
        <f>$AG59*#REF!</f>
        <v>#REF!</v>
      </c>
      <c r="BO59" s="83" t="e">
        <f>$AG59*#REF!</f>
        <v>#REF!</v>
      </c>
      <c r="BP59" s="83" t="e">
        <f>$AG59*#REF!</f>
        <v>#REF!</v>
      </c>
      <c r="BQ59" s="83" t="e">
        <f>$AG59*#REF!</f>
        <v>#REF!</v>
      </c>
      <c r="BR59" s="83" t="e">
        <f>$AG59*#REF!</f>
        <v>#REF!</v>
      </c>
      <c r="BS59" s="83" t="e">
        <f>$AG59*#REF!</f>
        <v>#REF!</v>
      </c>
      <c r="BT59" s="83" t="e">
        <f>$AG59*#REF!</f>
        <v>#REF!</v>
      </c>
      <c r="BU59" s="83" t="e">
        <f>$AG59*#REF!</f>
        <v>#REF!</v>
      </c>
      <c r="BV59" s="83" t="e">
        <f>$AG59*#REF!</f>
        <v>#REF!</v>
      </c>
      <c r="BW59" s="83" t="e">
        <f>$AG59*#REF!</f>
        <v>#REF!</v>
      </c>
      <c r="BX59" s="83" t="e">
        <f>$AG59*#REF!</f>
        <v>#REF!</v>
      </c>
      <c r="BY59" s="83" t="e">
        <f>$AG59*#REF!</f>
        <v>#REF!</v>
      </c>
      <c r="BZ59" s="83" t="e">
        <f>$AG59*#REF!</f>
        <v>#REF!</v>
      </c>
      <c r="CA59" s="83" t="e">
        <f>$AG59*#REF!</f>
        <v>#REF!</v>
      </c>
      <c r="CB59" s="83" t="e">
        <f>$AG59*#REF!</f>
        <v>#REF!</v>
      </c>
      <c r="CC59" s="83" t="e">
        <f>$AG59*#REF!</f>
        <v>#REF!</v>
      </c>
      <c r="CD59" s="83" t="e">
        <f>$AG59*#REF!</f>
        <v>#REF!</v>
      </c>
      <c r="CE59" s="83" t="e">
        <f>$AG59*#REF!</f>
        <v>#REF!</v>
      </c>
      <c r="CF59" s="83"/>
      <c r="CI59" s="4">
        <f t="shared" si="25"/>
        <v>0</v>
      </c>
      <c r="CL59" s="4">
        <f t="shared" si="29"/>
        <v>360</v>
      </c>
    </row>
    <row r="60" s="4" customFormat="1" ht="24" customHeight="1" spans="1:90">
      <c r="A60" s="24">
        <v>44663</v>
      </c>
      <c r="B60" s="25" t="s">
        <v>1186</v>
      </c>
      <c r="C60" s="26" t="s">
        <v>84</v>
      </c>
      <c r="D60" s="25">
        <v>4500075839</v>
      </c>
      <c r="E60" s="26">
        <v>4231913184</v>
      </c>
      <c r="F60" s="27" t="s">
        <v>3478</v>
      </c>
      <c r="G60" s="37"/>
      <c r="H60" s="38" t="s">
        <v>3479</v>
      </c>
      <c r="I60" s="26">
        <v>6</v>
      </c>
      <c r="J60" s="26">
        <v>0</v>
      </c>
      <c r="K60" s="26">
        <v>1</v>
      </c>
      <c r="L60" s="49">
        <f t="shared" si="39"/>
        <v>6</v>
      </c>
      <c r="M60" s="31">
        <v>44694</v>
      </c>
      <c r="N60" s="32" t="s">
        <v>3457</v>
      </c>
      <c r="O60" s="50"/>
      <c r="P60" s="50"/>
      <c r="Q60" s="26"/>
      <c r="R60" s="66">
        <v>44664</v>
      </c>
      <c r="S60" s="66" t="s">
        <v>48</v>
      </c>
      <c r="T60" s="66">
        <v>44679</v>
      </c>
      <c r="U60" s="73" t="s">
        <v>3494</v>
      </c>
      <c r="V60" s="31" t="s">
        <v>3417</v>
      </c>
      <c r="W60" s="69">
        <v>2138.4117</v>
      </c>
      <c r="X60" s="68">
        <f t="shared" si="45"/>
        <v>12830.4702</v>
      </c>
      <c r="Y60" s="26"/>
      <c r="Z60" s="26"/>
      <c r="AA60" s="26" t="s">
        <v>3434</v>
      </c>
      <c r="AB60" s="26"/>
      <c r="AC60" s="26"/>
      <c r="AD60" s="36"/>
      <c r="AE60" s="26"/>
      <c r="AF60" s="66"/>
      <c r="BK60" s="83" t="e">
        <f>$AG60*#REF!</f>
        <v>#REF!</v>
      </c>
      <c r="BL60" s="83" t="e">
        <f>$AG60*#REF!</f>
        <v>#REF!</v>
      </c>
      <c r="BM60" s="83" t="e">
        <f>$AG60*#REF!</f>
        <v>#REF!</v>
      </c>
      <c r="BN60" s="83" t="e">
        <f>$AG60*#REF!</f>
        <v>#REF!</v>
      </c>
      <c r="BO60" s="83" t="e">
        <f>$AG60*#REF!</f>
        <v>#REF!</v>
      </c>
      <c r="BP60" s="83" t="e">
        <f>$AG60*#REF!</f>
        <v>#REF!</v>
      </c>
      <c r="BQ60" s="83" t="e">
        <f>$AG60*#REF!</f>
        <v>#REF!</v>
      </c>
      <c r="BR60" s="83" t="e">
        <f>$AG60*#REF!</f>
        <v>#REF!</v>
      </c>
      <c r="BS60" s="83" t="e">
        <f>$AG60*#REF!</f>
        <v>#REF!</v>
      </c>
      <c r="BT60" s="83" t="e">
        <f>$AG60*#REF!</f>
        <v>#REF!</v>
      </c>
      <c r="BU60" s="83" t="e">
        <f>$AG60*#REF!</f>
        <v>#REF!</v>
      </c>
      <c r="BV60" s="83" t="e">
        <f>$AG60*#REF!</f>
        <v>#REF!</v>
      </c>
      <c r="BW60" s="83" t="e">
        <f>$AG60*#REF!</f>
        <v>#REF!</v>
      </c>
      <c r="BX60" s="83" t="e">
        <f>$AG60*#REF!</f>
        <v>#REF!</v>
      </c>
      <c r="BY60" s="83" t="e">
        <f>$AG60*#REF!</f>
        <v>#REF!</v>
      </c>
      <c r="BZ60" s="83" t="e">
        <f>$AG60*#REF!</f>
        <v>#REF!</v>
      </c>
      <c r="CA60" s="83" t="e">
        <f>$AG60*#REF!</f>
        <v>#REF!</v>
      </c>
      <c r="CB60" s="83" t="e">
        <f>$AG60*#REF!</f>
        <v>#REF!</v>
      </c>
      <c r="CC60" s="83" t="e">
        <f>$AG60*#REF!</f>
        <v>#REF!</v>
      </c>
      <c r="CD60" s="83" t="e">
        <f>$AG60*#REF!</f>
        <v>#REF!</v>
      </c>
      <c r="CE60" s="83" t="e">
        <f>$AG60*#REF!</f>
        <v>#REF!</v>
      </c>
      <c r="CF60" s="83"/>
      <c r="CI60" s="4">
        <f t="shared" si="25"/>
        <v>0</v>
      </c>
      <c r="CL60" s="4">
        <f t="shared" si="29"/>
        <v>0</v>
      </c>
    </row>
    <row r="61" s="4" customFormat="1" ht="24" customHeight="1" spans="1:90">
      <c r="A61" s="24">
        <v>44663</v>
      </c>
      <c r="B61" s="25" t="s">
        <v>1186</v>
      </c>
      <c r="C61" s="26" t="s">
        <v>84</v>
      </c>
      <c r="D61" s="25">
        <v>4500075839</v>
      </c>
      <c r="E61" s="26">
        <v>4231913184</v>
      </c>
      <c r="F61" s="27" t="s">
        <v>3462</v>
      </c>
      <c r="G61" s="37"/>
      <c r="H61" s="38" t="s">
        <v>3418</v>
      </c>
      <c r="I61" s="26">
        <v>6480</v>
      </c>
      <c r="J61" s="26">
        <v>0</v>
      </c>
      <c r="K61" s="26">
        <v>1080</v>
      </c>
      <c r="L61" s="49">
        <f t="shared" si="39"/>
        <v>6</v>
      </c>
      <c r="M61" s="31">
        <v>44694</v>
      </c>
      <c r="N61" s="32" t="s">
        <v>3457</v>
      </c>
      <c r="O61" s="50"/>
      <c r="P61" s="50"/>
      <c r="Q61" s="26"/>
      <c r="R61" s="66">
        <v>44664</v>
      </c>
      <c r="S61" s="66" t="s">
        <v>48</v>
      </c>
      <c r="T61" s="66">
        <v>44679</v>
      </c>
      <c r="U61" s="73"/>
      <c r="V61" s="31" t="s">
        <v>3417</v>
      </c>
      <c r="W61" s="69">
        <v>0</v>
      </c>
      <c r="X61" s="68">
        <v>0</v>
      </c>
      <c r="Y61" s="26"/>
      <c r="Z61" s="26"/>
      <c r="AA61" s="26" t="s">
        <v>3434</v>
      </c>
      <c r="AB61" s="26"/>
      <c r="AC61" s="26"/>
      <c r="AD61" s="36"/>
      <c r="AE61" s="26"/>
      <c r="AF61" s="66"/>
      <c r="AG61" s="4">
        <f t="shared" ref="AG61:AG65" si="46">I61</f>
        <v>6480</v>
      </c>
      <c r="AM61" s="4">
        <f t="shared" ref="AM61:AM65" si="47">I61</f>
        <v>6480</v>
      </c>
      <c r="AN61" s="4">
        <f t="shared" ref="AN61:AN65" si="48">I61</f>
        <v>6480</v>
      </c>
      <c r="BA61" s="4">
        <f t="shared" ref="BA61:BA65" si="49">I61/18</f>
        <v>360</v>
      </c>
      <c r="BK61" s="83" t="e">
        <f>$AG61*#REF!</f>
        <v>#REF!</v>
      </c>
      <c r="BL61" s="83" t="e">
        <f>$AG61*#REF!</f>
        <v>#REF!</v>
      </c>
      <c r="BM61" s="83" t="e">
        <f>$AG61*#REF!</f>
        <v>#REF!</v>
      </c>
      <c r="BN61" s="83" t="e">
        <f>$AG61*#REF!</f>
        <v>#REF!</v>
      </c>
      <c r="BO61" s="83" t="e">
        <f>$AG61*#REF!</f>
        <v>#REF!</v>
      </c>
      <c r="BP61" s="83" t="e">
        <f>$AG61*#REF!</f>
        <v>#REF!</v>
      </c>
      <c r="BQ61" s="83" t="e">
        <f>$AG61*#REF!</f>
        <v>#REF!</v>
      </c>
      <c r="BR61" s="83" t="e">
        <f>$AG61*#REF!</f>
        <v>#REF!</v>
      </c>
      <c r="BS61" s="83" t="e">
        <f>$AG61*#REF!</f>
        <v>#REF!</v>
      </c>
      <c r="BT61" s="83" t="e">
        <f>$AG61*#REF!</f>
        <v>#REF!</v>
      </c>
      <c r="BU61" s="83" t="e">
        <f>$AG61*#REF!</f>
        <v>#REF!</v>
      </c>
      <c r="BV61" s="83" t="e">
        <f>$AG61*#REF!</f>
        <v>#REF!</v>
      </c>
      <c r="BW61" s="83" t="e">
        <f>$AG61*#REF!</f>
        <v>#REF!</v>
      </c>
      <c r="BX61" s="83" t="e">
        <f>$AG61*#REF!</f>
        <v>#REF!</v>
      </c>
      <c r="BY61" s="83" t="e">
        <f>$AG61*#REF!</f>
        <v>#REF!</v>
      </c>
      <c r="BZ61" s="83" t="e">
        <f>$AG61*#REF!</f>
        <v>#REF!</v>
      </c>
      <c r="CA61" s="83" t="e">
        <f>$AG61*#REF!</f>
        <v>#REF!</v>
      </c>
      <c r="CB61" s="83" t="e">
        <f>$AG61*#REF!</f>
        <v>#REF!</v>
      </c>
      <c r="CC61" s="83" t="e">
        <f>$AG61*#REF!</f>
        <v>#REF!</v>
      </c>
      <c r="CD61" s="83" t="e">
        <f>$AG61*#REF!</f>
        <v>#REF!</v>
      </c>
      <c r="CE61" s="83" t="e">
        <f>$AG61*#REF!</f>
        <v>#REF!</v>
      </c>
      <c r="CF61" s="83"/>
      <c r="CI61" s="4">
        <f t="shared" si="25"/>
        <v>0</v>
      </c>
      <c r="CL61" s="4">
        <f t="shared" si="29"/>
        <v>360</v>
      </c>
    </row>
    <row r="62" s="4" customFormat="1" ht="24" customHeight="1" spans="1:90">
      <c r="A62" s="24">
        <v>44663</v>
      </c>
      <c r="B62" s="25" t="s">
        <v>1186</v>
      </c>
      <c r="C62" s="26" t="s">
        <v>84</v>
      </c>
      <c r="D62" s="25">
        <v>4500075838</v>
      </c>
      <c r="E62" s="26">
        <v>4231913189</v>
      </c>
      <c r="F62" s="27" t="s">
        <v>3478</v>
      </c>
      <c r="G62" s="37"/>
      <c r="H62" s="38" t="s">
        <v>3479</v>
      </c>
      <c r="I62" s="26">
        <v>4</v>
      </c>
      <c r="J62" s="26">
        <v>0</v>
      </c>
      <c r="K62" s="26">
        <v>1</v>
      </c>
      <c r="L62" s="49">
        <f t="shared" si="39"/>
        <v>4</v>
      </c>
      <c r="M62" s="31">
        <v>44692</v>
      </c>
      <c r="N62" s="32" t="s">
        <v>3457</v>
      </c>
      <c r="O62" s="50"/>
      <c r="P62" s="50"/>
      <c r="Q62" s="26"/>
      <c r="R62" s="66">
        <v>44664</v>
      </c>
      <c r="S62" s="66" t="s">
        <v>48</v>
      </c>
      <c r="T62" s="66">
        <v>44679</v>
      </c>
      <c r="U62" s="73" t="s">
        <v>3494</v>
      </c>
      <c r="V62" s="31" t="s">
        <v>3417</v>
      </c>
      <c r="W62" s="69">
        <v>2145.3237</v>
      </c>
      <c r="X62" s="68">
        <f t="shared" ref="X62:X66" si="50">I62*W62</f>
        <v>8581.2948</v>
      </c>
      <c r="Y62" s="26"/>
      <c r="Z62" s="26"/>
      <c r="AA62" s="26" t="s">
        <v>3434</v>
      </c>
      <c r="AB62" s="26"/>
      <c r="AC62" s="26"/>
      <c r="AD62" s="36"/>
      <c r="AE62" s="26"/>
      <c r="AF62" s="66"/>
      <c r="BK62" s="83" t="e">
        <f>$AG62*#REF!</f>
        <v>#REF!</v>
      </c>
      <c r="BL62" s="83" t="e">
        <f>$AG62*#REF!</f>
        <v>#REF!</v>
      </c>
      <c r="BM62" s="83" t="e">
        <f>$AG62*#REF!</f>
        <v>#REF!</v>
      </c>
      <c r="BN62" s="83" t="e">
        <f>$AG62*#REF!</f>
        <v>#REF!</v>
      </c>
      <c r="BO62" s="83" t="e">
        <f>$AG62*#REF!</f>
        <v>#REF!</v>
      </c>
      <c r="BP62" s="83" t="e">
        <f>$AG62*#REF!</f>
        <v>#REF!</v>
      </c>
      <c r="BQ62" s="83" t="e">
        <f>$AG62*#REF!</f>
        <v>#REF!</v>
      </c>
      <c r="BR62" s="83" t="e">
        <f>$AG62*#REF!</f>
        <v>#REF!</v>
      </c>
      <c r="BS62" s="83" t="e">
        <f>$AG62*#REF!</f>
        <v>#REF!</v>
      </c>
      <c r="BT62" s="83" t="e">
        <f>$AG62*#REF!</f>
        <v>#REF!</v>
      </c>
      <c r="BU62" s="83" t="e">
        <f>$AG62*#REF!</f>
        <v>#REF!</v>
      </c>
      <c r="BV62" s="83" t="e">
        <f>$AG62*#REF!</f>
        <v>#REF!</v>
      </c>
      <c r="BW62" s="83" t="e">
        <f>$AG62*#REF!</f>
        <v>#REF!</v>
      </c>
      <c r="BX62" s="83" t="e">
        <f>$AG62*#REF!</f>
        <v>#REF!</v>
      </c>
      <c r="BY62" s="83" t="e">
        <f>$AG62*#REF!</f>
        <v>#REF!</v>
      </c>
      <c r="BZ62" s="83" t="e">
        <f>$AG62*#REF!</f>
        <v>#REF!</v>
      </c>
      <c r="CA62" s="83" t="e">
        <f>$AG62*#REF!</f>
        <v>#REF!</v>
      </c>
      <c r="CB62" s="83" t="e">
        <f>$AG62*#REF!</f>
        <v>#REF!</v>
      </c>
      <c r="CC62" s="83" t="e">
        <f>$AG62*#REF!</f>
        <v>#REF!</v>
      </c>
      <c r="CD62" s="83" t="e">
        <f>$AG62*#REF!</f>
        <v>#REF!</v>
      </c>
      <c r="CE62" s="83" t="e">
        <f>$AG62*#REF!</f>
        <v>#REF!</v>
      </c>
      <c r="CF62" s="83"/>
      <c r="CI62" s="4">
        <f t="shared" si="25"/>
        <v>0</v>
      </c>
      <c r="CL62" s="4">
        <f t="shared" si="29"/>
        <v>0</v>
      </c>
    </row>
    <row r="63" s="4" customFormat="1" ht="24" customHeight="1" spans="1:90">
      <c r="A63" s="24">
        <v>44663</v>
      </c>
      <c r="B63" s="25" t="s">
        <v>1186</v>
      </c>
      <c r="C63" s="26" t="s">
        <v>84</v>
      </c>
      <c r="D63" s="25">
        <v>4500075838</v>
      </c>
      <c r="E63" s="26">
        <v>4231913189</v>
      </c>
      <c r="F63" s="27" t="s">
        <v>3462</v>
      </c>
      <c r="G63" s="37"/>
      <c r="H63" s="38" t="s">
        <v>3418</v>
      </c>
      <c r="I63" s="26">
        <v>4320</v>
      </c>
      <c r="J63" s="26">
        <v>0</v>
      </c>
      <c r="K63" s="26">
        <v>1080</v>
      </c>
      <c r="L63" s="49">
        <f t="shared" si="39"/>
        <v>4</v>
      </c>
      <c r="M63" s="31">
        <v>44692</v>
      </c>
      <c r="N63" s="32" t="s">
        <v>3457</v>
      </c>
      <c r="O63" s="50"/>
      <c r="P63" s="50"/>
      <c r="Q63" s="26"/>
      <c r="R63" s="66">
        <v>44664</v>
      </c>
      <c r="S63" s="66" t="s">
        <v>48</v>
      </c>
      <c r="T63" s="66">
        <v>44679</v>
      </c>
      <c r="U63" s="73"/>
      <c r="V63" s="31" t="s">
        <v>3417</v>
      </c>
      <c r="W63" s="69">
        <v>0</v>
      </c>
      <c r="X63" s="68">
        <v>0</v>
      </c>
      <c r="Y63" s="26"/>
      <c r="Z63" s="26"/>
      <c r="AA63" s="26" t="s">
        <v>3434</v>
      </c>
      <c r="AB63" s="26"/>
      <c r="AC63" s="26"/>
      <c r="AD63" s="36"/>
      <c r="AE63" s="26"/>
      <c r="AF63" s="66"/>
      <c r="AG63" s="4">
        <f t="shared" si="46"/>
        <v>4320</v>
      </c>
      <c r="AM63" s="4">
        <f t="shared" si="47"/>
        <v>4320</v>
      </c>
      <c r="AN63" s="4">
        <f t="shared" si="48"/>
        <v>4320</v>
      </c>
      <c r="BA63" s="4">
        <f t="shared" si="49"/>
        <v>240</v>
      </c>
      <c r="BK63" s="83" t="e">
        <f>$AG63*#REF!</f>
        <v>#REF!</v>
      </c>
      <c r="BL63" s="83" t="e">
        <f>$AG63*#REF!</f>
        <v>#REF!</v>
      </c>
      <c r="BM63" s="83" t="e">
        <f>$AG63*#REF!</f>
        <v>#REF!</v>
      </c>
      <c r="BN63" s="83" t="e">
        <f>$AG63*#REF!</f>
        <v>#REF!</v>
      </c>
      <c r="BO63" s="83" t="e">
        <f>$AG63*#REF!</f>
        <v>#REF!</v>
      </c>
      <c r="BP63" s="83" t="e">
        <f>$AG63*#REF!</f>
        <v>#REF!</v>
      </c>
      <c r="BQ63" s="83" t="e">
        <f>$AG63*#REF!</f>
        <v>#REF!</v>
      </c>
      <c r="BR63" s="83" t="e">
        <f>$AG63*#REF!</f>
        <v>#REF!</v>
      </c>
      <c r="BS63" s="83" t="e">
        <f>$AG63*#REF!</f>
        <v>#REF!</v>
      </c>
      <c r="BT63" s="83" t="e">
        <f>$AG63*#REF!</f>
        <v>#REF!</v>
      </c>
      <c r="BU63" s="83" t="e">
        <f>$AG63*#REF!</f>
        <v>#REF!</v>
      </c>
      <c r="BV63" s="83" t="e">
        <f>$AG63*#REF!</f>
        <v>#REF!</v>
      </c>
      <c r="BW63" s="83" t="e">
        <f>$AG63*#REF!</f>
        <v>#REF!</v>
      </c>
      <c r="BX63" s="83" t="e">
        <f>$AG63*#REF!</f>
        <v>#REF!</v>
      </c>
      <c r="BY63" s="83" t="e">
        <f>$AG63*#REF!</f>
        <v>#REF!</v>
      </c>
      <c r="BZ63" s="83" t="e">
        <f>$AG63*#REF!</f>
        <v>#REF!</v>
      </c>
      <c r="CA63" s="83" t="e">
        <f>$AG63*#REF!</f>
        <v>#REF!</v>
      </c>
      <c r="CB63" s="83" t="e">
        <f>$AG63*#REF!</f>
        <v>#REF!</v>
      </c>
      <c r="CC63" s="83" t="e">
        <f>$AG63*#REF!</f>
        <v>#REF!</v>
      </c>
      <c r="CD63" s="83" t="e">
        <f>$AG63*#REF!</f>
        <v>#REF!</v>
      </c>
      <c r="CE63" s="83" t="e">
        <f>$AG63*#REF!</f>
        <v>#REF!</v>
      </c>
      <c r="CF63" s="83"/>
      <c r="CI63" s="4">
        <f t="shared" si="25"/>
        <v>0</v>
      </c>
      <c r="CL63" s="4">
        <f t="shared" si="29"/>
        <v>240</v>
      </c>
    </row>
    <row r="64" s="4" customFormat="1" ht="24" customHeight="1" spans="1:90">
      <c r="A64" s="24">
        <v>44663</v>
      </c>
      <c r="B64" s="25" t="s">
        <v>1186</v>
      </c>
      <c r="C64" s="26" t="s">
        <v>84</v>
      </c>
      <c r="D64" s="25">
        <v>4500075840</v>
      </c>
      <c r="E64" s="26">
        <v>4231913185</v>
      </c>
      <c r="F64" s="27" t="s">
        <v>3478</v>
      </c>
      <c r="G64" s="37"/>
      <c r="H64" s="38" t="s">
        <v>3479</v>
      </c>
      <c r="I64" s="26">
        <v>7</v>
      </c>
      <c r="J64" s="26">
        <v>0</v>
      </c>
      <c r="K64" s="26">
        <v>1</v>
      </c>
      <c r="L64" s="49">
        <f t="shared" si="39"/>
        <v>7</v>
      </c>
      <c r="M64" s="31">
        <v>44692</v>
      </c>
      <c r="N64" s="32" t="s">
        <v>3457</v>
      </c>
      <c r="O64" s="50"/>
      <c r="P64" s="50"/>
      <c r="Q64" s="26"/>
      <c r="R64" s="66">
        <v>44664</v>
      </c>
      <c r="S64" s="66" t="s">
        <v>48</v>
      </c>
      <c r="T64" s="66">
        <v>44679</v>
      </c>
      <c r="U64" s="73" t="s">
        <v>3494</v>
      </c>
      <c r="V64" s="31" t="s">
        <v>3417</v>
      </c>
      <c r="W64" s="69">
        <v>2138.4117</v>
      </c>
      <c r="X64" s="68">
        <f t="shared" si="50"/>
        <v>14968.8819</v>
      </c>
      <c r="Y64" s="26"/>
      <c r="Z64" s="26"/>
      <c r="AA64" s="26" t="s">
        <v>3434</v>
      </c>
      <c r="AB64" s="26"/>
      <c r="AC64" s="26"/>
      <c r="AD64" s="36"/>
      <c r="AE64" s="26"/>
      <c r="AF64" s="66"/>
      <c r="BK64" s="83" t="e">
        <f>$AG64*#REF!</f>
        <v>#REF!</v>
      </c>
      <c r="BL64" s="83" t="e">
        <f>$AG64*#REF!</f>
        <v>#REF!</v>
      </c>
      <c r="BM64" s="83" t="e">
        <f>$AG64*#REF!</f>
        <v>#REF!</v>
      </c>
      <c r="BN64" s="83" t="e">
        <f>$AG64*#REF!</f>
        <v>#REF!</v>
      </c>
      <c r="BO64" s="83" t="e">
        <f>$AG64*#REF!</f>
        <v>#REF!</v>
      </c>
      <c r="BP64" s="83" t="e">
        <f>$AG64*#REF!</f>
        <v>#REF!</v>
      </c>
      <c r="BQ64" s="83" t="e">
        <f>$AG64*#REF!</f>
        <v>#REF!</v>
      </c>
      <c r="BR64" s="83" t="e">
        <f>$AG64*#REF!</f>
        <v>#REF!</v>
      </c>
      <c r="BS64" s="83" t="e">
        <f>$AG64*#REF!</f>
        <v>#REF!</v>
      </c>
      <c r="BT64" s="83" t="e">
        <f>$AG64*#REF!</f>
        <v>#REF!</v>
      </c>
      <c r="BU64" s="83" t="e">
        <f>$AG64*#REF!</f>
        <v>#REF!</v>
      </c>
      <c r="BV64" s="83" t="e">
        <f>$AG64*#REF!</f>
        <v>#REF!</v>
      </c>
      <c r="BW64" s="83" t="e">
        <f>$AG64*#REF!</f>
        <v>#REF!</v>
      </c>
      <c r="BX64" s="83" t="e">
        <f>$AG64*#REF!</f>
        <v>#REF!</v>
      </c>
      <c r="BY64" s="83" t="e">
        <f>$AG64*#REF!</f>
        <v>#REF!</v>
      </c>
      <c r="BZ64" s="83" t="e">
        <f>$AG64*#REF!</f>
        <v>#REF!</v>
      </c>
      <c r="CA64" s="83" t="e">
        <f>$AG64*#REF!</f>
        <v>#REF!</v>
      </c>
      <c r="CB64" s="83" t="e">
        <f>$AG64*#REF!</f>
        <v>#REF!</v>
      </c>
      <c r="CC64" s="83" t="e">
        <f>$AG64*#REF!</f>
        <v>#REF!</v>
      </c>
      <c r="CD64" s="83" t="e">
        <f>$AG64*#REF!</f>
        <v>#REF!</v>
      </c>
      <c r="CE64" s="83" t="e">
        <f>$AG64*#REF!</f>
        <v>#REF!</v>
      </c>
      <c r="CF64" s="83"/>
      <c r="CI64" s="4">
        <f t="shared" si="25"/>
        <v>0</v>
      </c>
      <c r="CL64" s="4">
        <f t="shared" si="29"/>
        <v>0</v>
      </c>
    </row>
    <row r="65" s="4" customFormat="1" ht="24" customHeight="1" spans="1:90">
      <c r="A65" s="24">
        <v>44663</v>
      </c>
      <c r="B65" s="25" t="s">
        <v>1186</v>
      </c>
      <c r="C65" s="26" t="s">
        <v>84</v>
      </c>
      <c r="D65" s="25">
        <v>4500075840</v>
      </c>
      <c r="E65" s="26">
        <v>4231913185</v>
      </c>
      <c r="F65" s="27" t="s">
        <v>3462</v>
      </c>
      <c r="G65" s="37"/>
      <c r="H65" s="38" t="s">
        <v>3418</v>
      </c>
      <c r="I65" s="26">
        <v>7560</v>
      </c>
      <c r="J65" s="26">
        <v>0</v>
      </c>
      <c r="K65" s="26">
        <v>1080</v>
      </c>
      <c r="L65" s="49">
        <f t="shared" si="39"/>
        <v>7</v>
      </c>
      <c r="M65" s="31">
        <v>44692</v>
      </c>
      <c r="N65" s="32" t="s">
        <v>3457</v>
      </c>
      <c r="O65" s="50"/>
      <c r="P65" s="50"/>
      <c r="Q65" s="26"/>
      <c r="R65" s="66">
        <v>44664</v>
      </c>
      <c r="S65" s="66" t="s">
        <v>48</v>
      </c>
      <c r="T65" s="66">
        <v>44679</v>
      </c>
      <c r="U65" s="73"/>
      <c r="V65" s="31" t="s">
        <v>3417</v>
      </c>
      <c r="W65" s="69">
        <v>0</v>
      </c>
      <c r="X65" s="68">
        <v>0</v>
      </c>
      <c r="Y65" s="26"/>
      <c r="Z65" s="26"/>
      <c r="AA65" s="26" t="s">
        <v>3434</v>
      </c>
      <c r="AB65" s="26"/>
      <c r="AC65" s="26"/>
      <c r="AD65" s="36"/>
      <c r="AE65" s="26"/>
      <c r="AF65" s="66"/>
      <c r="AG65" s="4">
        <f t="shared" si="46"/>
        <v>7560</v>
      </c>
      <c r="AM65" s="4">
        <f t="shared" si="47"/>
        <v>7560</v>
      </c>
      <c r="AN65" s="4">
        <f t="shared" si="48"/>
        <v>7560</v>
      </c>
      <c r="BA65" s="4">
        <f t="shared" si="49"/>
        <v>420</v>
      </c>
      <c r="BK65" s="83" t="e">
        <f>$AG65*#REF!</f>
        <v>#REF!</v>
      </c>
      <c r="BL65" s="83" t="e">
        <f>$AG65*#REF!</f>
        <v>#REF!</v>
      </c>
      <c r="BM65" s="83" t="e">
        <f>$AG65*#REF!</f>
        <v>#REF!</v>
      </c>
      <c r="BN65" s="83" t="e">
        <f>$AG65*#REF!</f>
        <v>#REF!</v>
      </c>
      <c r="BO65" s="83" t="e">
        <f>$AG65*#REF!</f>
        <v>#REF!</v>
      </c>
      <c r="BP65" s="83" t="e">
        <f>$AG65*#REF!</f>
        <v>#REF!</v>
      </c>
      <c r="BQ65" s="83" t="e">
        <f>$AG65*#REF!</f>
        <v>#REF!</v>
      </c>
      <c r="BR65" s="83" t="e">
        <f>$AG65*#REF!</f>
        <v>#REF!</v>
      </c>
      <c r="BS65" s="83" t="e">
        <f>$AG65*#REF!</f>
        <v>#REF!</v>
      </c>
      <c r="BT65" s="83" t="e">
        <f>$AG65*#REF!</f>
        <v>#REF!</v>
      </c>
      <c r="BU65" s="83" t="e">
        <f>$AG65*#REF!</f>
        <v>#REF!</v>
      </c>
      <c r="BV65" s="83" t="e">
        <f>$AG65*#REF!</f>
        <v>#REF!</v>
      </c>
      <c r="BW65" s="83" t="e">
        <f>$AG65*#REF!</f>
        <v>#REF!</v>
      </c>
      <c r="BX65" s="83" t="e">
        <f>$AG65*#REF!</f>
        <v>#REF!</v>
      </c>
      <c r="BY65" s="83" t="e">
        <f>$AG65*#REF!</f>
        <v>#REF!</v>
      </c>
      <c r="BZ65" s="83" t="e">
        <f>$AG65*#REF!</f>
        <v>#REF!</v>
      </c>
      <c r="CA65" s="83" t="e">
        <f>$AG65*#REF!</f>
        <v>#REF!</v>
      </c>
      <c r="CB65" s="83" t="e">
        <f>$AG65*#REF!</f>
        <v>#REF!</v>
      </c>
      <c r="CC65" s="83" t="e">
        <f>$AG65*#REF!</f>
        <v>#REF!</v>
      </c>
      <c r="CD65" s="83" t="e">
        <f>$AG65*#REF!</f>
        <v>#REF!</v>
      </c>
      <c r="CE65" s="83" t="e">
        <f>$AG65*#REF!</f>
        <v>#REF!</v>
      </c>
      <c r="CF65" s="83"/>
      <c r="CI65" s="4">
        <f t="shared" si="25"/>
        <v>0</v>
      </c>
      <c r="CL65" s="4">
        <f t="shared" si="29"/>
        <v>420</v>
      </c>
    </row>
    <row r="66" s="4" customFormat="1" ht="24" customHeight="1" spans="1:90">
      <c r="A66" s="24">
        <v>44663</v>
      </c>
      <c r="B66" s="25" t="s">
        <v>1186</v>
      </c>
      <c r="C66" s="26" t="s">
        <v>84</v>
      </c>
      <c r="D66" s="25">
        <v>4500075822</v>
      </c>
      <c r="E66" s="26">
        <v>4231913183</v>
      </c>
      <c r="F66" s="27" t="s">
        <v>3478</v>
      </c>
      <c r="G66" s="37"/>
      <c r="H66" s="38" t="s">
        <v>3479</v>
      </c>
      <c r="I66" s="26">
        <v>8</v>
      </c>
      <c r="J66" s="26">
        <v>0</v>
      </c>
      <c r="K66" s="26">
        <v>1</v>
      </c>
      <c r="L66" s="49">
        <f t="shared" si="39"/>
        <v>8</v>
      </c>
      <c r="M66" s="31">
        <v>44692</v>
      </c>
      <c r="N66" s="32" t="s">
        <v>3457</v>
      </c>
      <c r="O66" s="50"/>
      <c r="P66" s="50"/>
      <c r="Q66" s="26"/>
      <c r="R66" s="66">
        <v>44664</v>
      </c>
      <c r="S66" s="66" t="s">
        <v>48</v>
      </c>
      <c r="T66" s="66">
        <v>44679</v>
      </c>
      <c r="U66" s="73" t="s">
        <v>3494</v>
      </c>
      <c r="V66" s="31" t="s">
        <v>3417</v>
      </c>
      <c r="W66" s="69">
        <v>2138.4117</v>
      </c>
      <c r="X66" s="68">
        <f t="shared" si="50"/>
        <v>17107.2936</v>
      </c>
      <c r="Y66" s="26"/>
      <c r="Z66" s="26"/>
      <c r="AA66" s="26" t="s">
        <v>3434</v>
      </c>
      <c r="AB66" s="26"/>
      <c r="AC66" s="26"/>
      <c r="AD66" s="36"/>
      <c r="AE66" s="26"/>
      <c r="AF66" s="66"/>
      <c r="BK66" s="83" t="e">
        <f>$AG66*#REF!</f>
        <v>#REF!</v>
      </c>
      <c r="BL66" s="83" t="e">
        <f>$AG66*#REF!</f>
        <v>#REF!</v>
      </c>
      <c r="BM66" s="83" t="e">
        <f>$AG66*#REF!</f>
        <v>#REF!</v>
      </c>
      <c r="BN66" s="83" t="e">
        <f>$AG66*#REF!</f>
        <v>#REF!</v>
      </c>
      <c r="BO66" s="83" t="e">
        <f>$AG66*#REF!</f>
        <v>#REF!</v>
      </c>
      <c r="BP66" s="83" t="e">
        <f>$AG66*#REF!</f>
        <v>#REF!</v>
      </c>
      <c r="BQ66" s="83" t="e">
        <f>$AG66*#REF!</f>
        <v>#REF!</v>
      </c>
      <c r="BR66" s="83" t="e">
        <f>$AG66*#REF!</f>
        <v>#REF!</v>
      </c>
      <c r="BS66" s="83" t="e">
        <f>$AG66*#REF!</f>
        <v>#REF!</v>
      </c>
      <c r="BT66" s="83" t="e">
        <f>$AG66*#REF!</f>
        <v>#REF!</v>
      </c>
      <c r="BU66" s="83" t="e">
        <f>$AG66*#REF!</f>
        <v>#REF!</v>
      </c>
      <c r="BV66" s="83" t="e">
        <f>$AG66*#REF!</f>
        <v>#REF!</v>
      </c>
      <c r="BW66" s="83" t="e">
        <f>$AG66*#REF!</f>
        <v>#REF!</v>
      </c>
      <c r="BX66" s="83" t="e">
        <f>$AG66*#REF!</f>
        <v>#REF!</v>
      </c>
      <c r="BY66" s="83" t="e">
        <f>$AG66*#REF!</f>
        <v>#REF!</v>
      </c>
      <c r="BZ66" s="83" t="e">
        <f>$AG66*#REF!</f>
        <v>#REF!</v>
      </c>
      <c r="CA66" s="83" t="e">
        <f>$AG66*#REF!</f>
        <v>#REF!</v>
      </c>
      <c r="CB66" s="83" t="e">
        <f>$AG66*#REF!</f>
        <v>#REF!</v>
      </c>
      <c r="CC66" s="83" t="e">
        <f>$AG66*#REF!</f>
        <v>#REF!</v>
      </c>
      <c r="CD66" s="83" t="e">
        <f>$AG66*#REF!</f>
        <v>#REF!</v>
      </c>
      <c r="CE66" s="83" t="e">
        <f>$AG66*#REF!</f>
        <v>#REF!</v>
      </c>
      <c r="CF66" s="83"/>
      <c r="CI66" s="4">
        <f t="shared" si="25"/>
        <v>0</v>
      </c>
      <c r="CL66" s="4">
        <f t="shared" si="29"/>
        <v>0</v>
      </c>
    </row>
    <row r="67" s="4" customFormat="1" ht="24" customHeight="1" spans="1:90">
      <c r="A67" s="24">
        <v>44663</v>
      </c>
      <c r="B67" s="25" t="s">
        <v>1186</v>
      </c>
      <c r="C67" s="26" t="s">
        <v>84</v>
      </c>
      <c r="D67" s="25">
        <v>4500075822</v>
      </c>
      <c r="E67" s="26">
        <v>4231913183</v>
      </c>
      <c r="F67" s="27" t="s">
        <v>3462</v>
      </c>
      <c r="G67" s="37"/>
      <c r="H67" s="38" t="s">
        <v>3418</v>
      </c>
      <c r="I67" s="26">
        <v>8640</v>
      </c>
      <c r="J67" s="26">
        <v>0</v>
      </c>
      <c r="K67" s="26">
        <v>1080</v>
      </c>
      <c r="L67" s="49">
        <f t="shared" si="39"/>
        <v>8</v>
      </c>
      <c r="M67" s="31">
        <v>44692</v>
      </c>
      <c r="N67" s="32" t="s">
        <v>3457</v>
      </c>
      <c r="O67" s="50"/>
      <c r="P67" s="50"/>
      <c r="Q67" s="26"/>
      <c r="R67" s="66">
        <v>44664</v>
      </c>
      <c r="S67" s="66" t="s">
        <v>48</v>
      </c>
      <c r="T67" s="66">
        <v>44679</v>
      </c>
      <c r="U67" s="73"/>
      <c r="V67" s="31" t="s">
        <v>3417</v>
      </c>
      <c r="W67" s="69">
        <v>0</v>
      </c>
      <c r="X67" s="68">
        <v>0</v>
      </c>
      <c r="Y67" s="26"/>
      <c r="Z67" s="26"/>
      <c r="AA67" s="26" t="s">
        <v>3434</v>
      </c>
      <c r="AB67" s="26"/>
      <c r="AC67" s="26"/>
      <c r="AD67" s="36"/>
      <c r="AE67" s="26"/>
      <c r="AF67" s="66"/>
      <c r="AG67" s="4">
        <f t="shared" ref="AG67:AG81" si="51">I67</f>
        <v>8640</v>
      </c>
      <c r="AM67" s="4">
        <f t="shared" ref="AM67:AM81" si="52">I67</f>
        <v>8640</v>
      </c>
      <c r="AN67" s="4">
        <f t="shared" ref="AN67:AN81" si="53">I67</f>
        <v>8640</v>
      </c>
      <c r="BA67" s="4">
        <f>I67/18</f>
        <v>480</v>
      </c>
      <c r="BK67" s="83" t="e">
        <f>$AG67*#REF!</f>
        <v>#REF!</v>
      </c>
      <c r="BL67" s="83" t="e">
        <f>$AG67*#REF!</f>
        <v>#REF!</v>
      </c>
      <c r="BM67" s="83" t="e">
        <f>$AG67*#REF!</f>
        <v>#REF!</v>
      </c>
      <c r="BN67" s="83" t="e">
        <f>$AG67*#REF!</f>
        <v>#REF!</v>
      </c>
      <c r="BO67" s="83" t="e">
        <f>$AG67*#REF!</f>
        <v>#REF!</v>
      </c>
      <c r="BP67" s="83" t="e">
        <f>$AG67*#REF!</f>
        <v>#REF!</v>
      </c>
      <c r="BQ67" s="83" t="e">
        <f>$AG67*#REF!</f>
        <v>#REF!</v>
      </c>
      <c r="BR67" s="83" t="e">
        <f>$AG67*#REF!</f>
        <v>#REF!</v>
      </c>
      <c r="BS67" s="83" t="e">
        <f>$AG67*#REF!</f>
        <v>#REF!</v>
      </c>
      <c r="BT67" s="83" t="e">
        <f>$AG67*#REF!</f>
        <v>#REF!</v>
      </c>
      <c r="BU67" s="83" t="e">
        <f>$AG67*#REF!</f>
        <v>#REF!</v>
      </c>
      <c r="BV67" s="83" t="e">
        <f>$AG67*#REF!</f>
        <v>#REF!</v>
      </c>
      <c r="BW67" s="83" t="e">
        <f>$AG67*#REF!</f>
        <v>#REF!</v>
      </c>
      <c r="BX67" s="83" t="e">
        <f>$AG67*#REF!</f>
        <v>#REF!</v>
      </c>
      <c r="BY67" s="83" t="e">
        <f>$AG67*#REF!</f>
        <v>#REF!</v>
      </c>
      <c r="BZ67" s="83" t="e">
        <f>$AG67*#REF!</f>
        <v>#REF!</v>
      </c>
      <c r="CA67" s="83" t="e">
        <f>$AG67*#REF!</f>
        <v>#REF!</v>
      </c>
      <c r="CB67" s="83" t="e">
        <f>$AG67*#REF!</f>
        <v>#REF!</v>
      </c>
      <c r="CC67" s="83" t="e">
        <f>$AG67*#REF!</f>
        <v>#REF!</v>
      </c>
      <c r="CD67" s="83" t="e">
        <f>$AG67*#REF!</f>
        <v>#REF!</v>
      </c>
      <c r="CE67" s="83" t="e">
        <f>$AG67*#REF!</f>
        <v>#REF!</v>
      </c>
      <c r="CF67" s="83"/>
      <c r="CI67" s="4">
        <f t="shared" si="25"/>
        <v>0</v>
      </c>
      <c r="CL67" s="4">
        <f t="shared" si="29"/>
        <v>480</v>
      </c>
    </row>
    <row r="68" s="4" customFormat="1" ht="24" customHeight="1" spans="1:90">
      <c r="A68" s="24">
        <v>44663</v>
      </c>
      <c r="B68" s="25" t="s">
        <v>1186</v>
      </c>
      <c r="C68" s="26" t="s">
        <v>84</v>
      </c>
      <c r="D68" s="25">
        <v>4500075825</v>
      </c>
      <c r="E68" s="26">
        <v>4231912622</v>
      </c>
      <c r="F68" s="27" t="s">
        <v>3447</v>
      </c>
      <c r="G68" s="37"/>
      <c r="H68" s="38" t="s">
        <v>3448</v>
      </c>
      <c r="I68" s="26">
        <v>4320</v>
      </c>
      <c r="J68" s="26">
        <v>0</v>
      </c>
      <c r="K68" s="26">
        <v>18</v>
      </c>
      <c r="L68" s="49">
        <f t="shared" si="39"/>
        <v>240</v>
      </c>
      <c r="M68" s="31">
        <v>44692</v>
      </c>
      <c r="N68" s="32" t="s">
        <v>3457</v>
      </c>
      <c r="O68" s="50"/>
      <c r="P68" s="50"/>
      <c r="Q68" s="26"/>
      <c r="R68" s="66" t="s">
        <v>3496</v>
      </c>
      <c r="S68" s="66" t="s">
        <v>48</v>
      </c>
      <c r="T68" s="66">
        <v>44679</v>
      </c>
      <c r="U68" s="73" t="s">
        <v>3497</v>
      </c>
      <c r="V68" s="31" t="s">
        <v>3417</v>
      </c>
      <c r="W68" s="69">
        <v>2.0276</v>
      </c>
      <c r="X68" s="68">
        <f t="shared" ref="X68:X82" si="54">I68*W68</f>
        <v>8759.232</v>
      </c>
      <c r="Y68" s="26"/>
      <c r="Z68" s="26"/>
      <c r="AA68" s="26" t="s">
        <v>3434</v>
      </c>
      <c r="AB68" s="26"/>
      <c r="AC68" s="26"/>
      <c r="AD68" s="36" t="s">
        <v>55</v>
      </c>
      <c r="AE68" s="26"/>
      <c r="AF68" s="66"/>
      <c r="AG68" s="4">
        <f t="shared" si="51"/>
        <v>4320</v>
      </c>
      <c r="AM68" s="4">
        <f t="shared" si="52"/>
        <v>4320</v>
      </c>
      <c r="AN68" s="4">
        <f t="shared" si="53"/>
        <v>4320</v>
      </c>
      <c r="AZ68" s="4">
        <f t="shared" ref="AZ68:AZ74" si="55">I68/18</f>
        <v>240</v>
      </c>
      <c r="BK68" s="83" t="e">
        <f>$AG68*#REF!</f>
        <v>#REF!</v>
      </c>
      <c r="BL68" s="83" t="e">
        <f>$AG68*#REF!</f>
        <v>#REF!</v>
      </c>
      <c r="BM68" s="83" t="e">
        <f>$AG68*#REF!</f>
        <v>#REF!</v>
      </c>
      <c r="BN68" s="83" t="e">
        <f>$AG68*#REF!</f>
        <v>#REF!</v>
      </c>
      <c r="BO68" s="83" t="e">
        <f>$AG68*#REF!</f>
        <v>#REF!</v>
      </c>
      <c r="BP68" s="83" t="e">
        <f>$AG68*#REF!</f>
        <v>#REF!</v>
      </c>
      <c r="BQ68" s="83" t="e">
        <f>$AG68*#REF!</f>
        <v>#REF!</v>
      </c>
      <c r="BR68" s="83" t="e">
        <f>$AG68*#REF!</f>
        <v>#REF!</v>
      </c>
      <c r="BS68" s="83" t="e">
        <f>$AG68*#REF!</f>
        <v>#REF!</v>
      </c>
      <c r="BT68" s="83" t="e">
        <f>$AG68*#REF!</f>
        <v>#REF!</v>
      </c>
      <c r="BU68" s="83" t="e">
        <f>$AG68*#REF!</f>
        <v>#REF!</v>
      </c>
      <c r="BV68" s="83" t="e">
        <f>$AG68*#REF!</f>
        <v>#REF!</v>
      </c>
      <c r="BW68" s="83" t="e">
        <f>$AG68*#REF!</f>
        <v>#REF!</v>
      </c>
      <c r="BX68" s="83" t="e">
        <f>$AG68*#REF!</f>
        <v>#REF!</v>
      </c>
      <c r="BY68" s="83" t="e">
        <f>$AG68*#REF!</f>
        <v>#REF!</v>
      </c>
      <c r="BZ68" s="83" t="e">
        <f>$AG68*#REF!</f>
        <v>#REF!</v>
      </c>
      <c r="CA68" s="83" t="e">
        <f>$AG68*#REF!</f>
        <v>#REF!</v>
      </c>
      <c r="CB68" s="83" t="e">
        <f>$AG68*#REF!</f>
        <v>#REF!</v>
      </c>
      <c r="CC68" s="83" t="e">
        <f>$AG68*#REF!</f>
        <v>#REF!</v>
      </c>
      <c r="CD68" s="83" t="e">
        <f>$AG68*#REF!</f>
        <v>#REF!</v>
      </c>
      <c r="CE68" s="83" t="e">
        <f>$AG68*#REF!</f>
        <v>#REF!</v>
      </c>
      <c r="CF68" s="83"/>
      <c r="CI68" s="4">
        <f t="shared" si="25"/>
        <v>0</v>
      </c>
      <c r="CL68" s="4">
        <f t="shared" si="29"/>
        <v>240</v>
      </c>
    </row>
    <row r="69" s="4" customFormat="1" ht="24" customHeight="1" spans="1:90">
      <c r="A69" s="24">
        <v>44663</v>
      </c>
      <c r="B69" s="25" t="s">
        <v>1186</v>
      </c>
      <c r="C69" s="26" t="s">
        <v>84</v>
      </c>
      <c r="D69" s="25">
        <v>4500075824</v>
      </c>
      <c r="E69" s="26">
        <v>4231912619</v>
      </c>
      <c r="F69" s="27" t="s">
        <v>3447</v>
      </c>
      <c r="G69" s="37"/>
      <c r="H69" s="38" t="s">
        <v>3448</v>
      </c>
      <c r="I69" s="26">
        <v>9720</v>
      </c>
      <c r="J69" s="26">
        <v>0</v>
      </c>
      <c r="K69" s="26">
        <v>18</v>
      </c>
      <c r="L69" s="49">
        <f t="shared" si="39"/>
        <v>540</v>
      </c>
      <c r="M69" s="31">
        <v>44692</v>
      </c>
      <c r="N69" s="32" t="s">
        <v>3457</v>
      </c>
      <c r="O69" s="50"/>
      <c r="P69" s="50"/>
      <c r="Q69" s="26"/>
      <c r="R69" s="66" t="s">
        <v>3496</v>
      </c>
      <c r="S69" s="66" t="s">
        <v>48</v>
      </c>
      <c r="T69" s="66">
        <v>44679</v>
      </c>
      <c r="U69" s="73" t="s">
        <v>3497</v>
      </c>
      <c r="V69" s="31" t="s">
        <v>3417</v>
      </c>
      <c r="W69" s="69">
        <v>2.0212</v>
      </c>
      <c r="X69" s="68">
        <f t="shared" si="54"/>
        <v>19646.064</v>
      </c>
      <c r="Y69" s="26"/>
      <c r="Z69" s="26"/>
      <c r="AA69" s="26" t="s">
        <v>3434</v>
      </c>
      <c r="AB69" s="26"/>
      <c r="AC69" s="26"/>
      <c r="AD69" s="36" t="s">
        <v>55</v>
      </c>
      <c r="AE69" s="26"/>
      <c r="AF69" s="66"/>
      <c r="AG69" s="4">
        <f t="shared" si="51"/>
        <v>9720</v>
      </c>
      <c r="AM69" s="4">
        <f t="shared" si="52"/>
        <v>9720</v>
      </c>
      <c r="AN69" s="4">
        <f t="shared" si="53"/>
        <v>9720</v>
      </c>
      <c r="AZ69" s="4">
        <f t="shared" si="55"/>
        <v>540</v>
      </c>
      <c r="BK69" s="83" t="e">
        <f>$AG69*#REF!</f>
        <v>#REF!</v>
      </c>
      <c r="BL69" s="83" t="e">
        <f>$AG69*#REF!</f>
        <v>#REF!</v>
      </c>
      <c r="BM69" s="83" t="e">
        <f>$AG69*#REF!</f>
        <v>#REF!</v>
      </c>
      <c r="BN69" s="83" t="e">
        <f>$AG69*#REF!</f>
        <v>#REF!</v>
      </c>
      <c r="BO69" s="83" t="e">
        <f>$AG69*#REF!</f>
        <v>#REF!</v>
      </c>
      <c r="BP69" s="83" t="e">
        <f>$AG69*#REF!</f>
        <v>#REF!</v>
      </c>
      <c r="BQ69" s="83" t="e">
        <f>$AG69*#REF!</f>
        <v>#REF!</v>
      </c>
      <c r="BR69" s="83" t="e">
        <f>$AG69*#REF!</f>
        <v>#REF!</v>
      </c>
      <c r="BS69" s="83" t="e">
        <f>$AG69*#REF!</f>
        <v>#REF!</v>
      </c>
      <c r="BT69" s="83" t="e">
        <f>$AG69*#REF!</f>
        <v>#REF!</v>
      </c>
      <c r="BU69" s="83" t="e">
        <f>$AG69*#REF!</f>
        <v>#REF!</v>
      </c>
      <c r="BV69" s="83" t="e">
        <f>$AG69*#REF!</f>
        <v>#REF!</v>
      </c>
      <c r="BW69" s="83" t="e">
        <f>$AG69*#REF!</f>
        <v>#REF!</v>
      </c>
      <c r="BX69" s="83" t="e">
        <f>$AG69*#REF!</f>
        <v>#REF!</v>
      </c>
      <c r="BY69" s="83" t="e">
        <f>$AG69*#REF!</f>
        <v>#REF!</v>
      </c>
      <c r="BZ69" s="83" t="e">
        <f>$AG69*#REF!</f>
        <v>#REF!</v>
      </c>
      <c r="CA69" s="83" t="e">
        <f>$AG69*#REF!</f>
        <v>#REF!</v>
      </c>
      <c r="CB69" s="83" t="e">
        <f>$AG69*#REF!</f>
        <v>#REF!</v>
      </c>
      <c r="CC69" s="83" t="e">
        <f>$AG69*#REF!</f>
        <v>#REF!</v>
      </c>
      <c r="CD69" s="83" t="e">
        <f>$AG69*#REF!</f>
        <v>#REF!</v>
      </c>
      <c r="CE69" s="83" t="e">
        <f>$AG69*#REF!</f>
        <v>#REF!</v>
      </c>
      <c r="CF69" s="83"/>
      <c r="CI69" s="4">
        <f t="shared" si="25"/>
        <v>0</v>
      </c>
      <c r="CL69" s="4">
        <f t="shared" si="29"/>
        <v>540</v>
      </c>
    </row>
    <row r="70" s="4" customFormat="1" ht="24" customHeight="1" spans="1:90">
      <c r="A70" s="24">
        <v>44663</v>
      </c>
      <c r="B70" s="25" t="s">
        <v>1186</v>
      </c>
      <c r="C70" s="26" t="s">
        <v>84</v>
      </c>
      <c r="D70" s="25">
        <v>4500075820</v>
      </c>
      <c r="E70" s="26">
        <v>4231912621</v>
      </c>
      <c r="F70" s="27" t="s">
        <v>3447</v>
      </c>
      <c r="G70" s="37"/>
      <c r="H70" s="38" t="s">
        <v>3448</v>
      </c>
      <c r="I70" s="26">
        <v>4320</v>
      </c>
      <c r="J70" s="26">
        <v>0</v>
      </c>
      <c r="K70" s="26">
        <v>18</v>
      </c>
      <c r="L70" s="49">
        <f t="shared" si="39"/>
        <v>240</v>
      </c>
      <c r="M70" s="31">
        <v>44692</v>
      </c>
      <c r="N70" s="32" t="s">
        <v>3457</v>
      </c>
      <c r="O70" s="50"/>
      <c r="P70" s="50"/>
      <c r="Q70" s="26"/>
      <c r="R70" s="66" t="s">
        <v>3496</v>
      </c>
      <c r="S70" s="66" t="s">
        <v>48</v>
      </c>
      <c r="T70" s="66">
        <v>44679</v>
      </c>
      <c r="U70" s="73" t="s">
        <v>3497</v>
      </c>
      <c r="V70" s="31" t="s">
        <v>3417</v>
      </c>
      <c r="W70" s="69">
        <v>2.0276</v>
      </c>
      <c r="X70" s="68">
        <f t="shared" si="54"/>
        <v>8759.232</v>
      </c>
      <c r="Y70" s="26"/>
      <c r="Z70" s="26"/>
      <c r="AA70" s="26" t="s">
        <v>3434</v>
      </c>
      <c r="AB70" s="26"/>
      <c r="AC70" s="26"/>
      <c r="AD70" s="36" t="s">
        <v>55</v>
      </c>
      <c r="AE70" s="26"/>
      <c r="AF70" s="66"/>
      <c r="AG70" s="4">
        <f t="shared" si="51"/>
        <v>4320</v>
      </c>
      <c r="AM70" s="4">
        <f t="shared" si="52"/>
        <v>4320</v>
      </c>
      <c r="AN70" s="4">
        <f t="shared" si="53"/>
        <v>4320</v>
      </c>
      <c r="AZ70" s="4">
        <f t="shared" si="55"/>
        <v>240</v>
      </c>
      <c r="BK70" s="83" t="e">
        <f>$AG70*#REF!</f>
        <v>#REF!</v>
      </c>
      <c r="BL70" s="83" t="e">
        <f>$AG70*#REF!</f>
        <v>#REF!</v>
      </c>
      <c r="BM70" s="83" t="e">
        <f>$AG70*#REF!</f>
        <v>#REF!</v>
      </c>
      <c r="BN70" s="83" t="e">
        <f>$AG70*#REF!</f>
        <v>#REF!</v>
      </c>
      <c r="BO70" s="83" t="e">
        <f>$AG70*#REF!</f>
        <v>#REF!</v>
      </c>
      <c r="BP70" s="83" t="e">
        <f>$AG70*#REF!</f>
        <v>#REF!</v>
      </c>
      <c r="BQ70" s="83" t="e">
        <f>$AG70*#REF!</f>
        <v>#REF!</v>
      </c>
      <c r="BR70" s="83" t="e">
        <f>$AG70*#REF!</f>
        <v>#REF!</v>
      </c>
      <c r="BS70" s="83" t="e">
        <f>$AG70*#REF!</f>
        <v>#REF!</v>
      </c>
      <c r="BT70" s="83" t="e">
        <f>$AG70*#REF!</f>
        <v>#REF!</v>
      </c>
      <c r="BU70" s="83" t="e">
        <f>$AG70*#REF!</f>
        <v>#REF!</v>
      </c>
      <c r="BV70" s="83" t="e">
        <f>$AG70*#REF!</f>
        <v>#REF!</v>
      </c>
      <c r="BW70" s="83" t="e">
        <f>$AG70*#REF!</f>
        <v>#REF!</v>
      </c>
      <c r="BX70" s="83" t="e">
        <f>$AG70*#REF!</f>
        <v>#REF!</v>
      </c>
      <c r="BY70" s="83" t="e">
        <f>$AG70*#REF!</f>
        <v>#REF!</v>
      </c>
      <c r="BZ70" s="83" t="e">
        <f>$AG70*#REF!</f>
        <v>#REF!</v>
      </c>
      <c r="CA70" s="83" t="e">
        <f>$AG70*#REF!</f>
        <v>#REF!</v>
      </c>
      <c r="CB70" s="83" t="e">
        <f>$AG70*#REF!</f>
        <v>#REF!</v>
      </c>
      <c r="CC70" s="83" t="e">
        <f>$AG70*#REF!</f>
        <v>#REF!</v>
      </c>
      <c r="CD70" s="83" t="e">
        <f>$AG70*#REF!</f>
        <v>#REF!</v>
      </c>
      <c r="CE70" s="83" t="e">
        <f>$AG70*#REF!</f>
        <v>#REF!</v>
      </c>
      <c r="CF70" s="83"/>
      <c r="CI70" s="4">
        <f t="shared" si="25"/>
        <v>0</v>
      </c>
      <c r="CL70" s="4">
        <f t="shared" si="29"/>
        <v>240</v>
      </c>
    </row>
    <row r="71" s="4" customFormat="1" ht="24" customHeight="1" spans="1:90">
      <c r="A71" s="24">
        <v>44663</v>
      </c>
      <c r="B71" s="25" t="s">
        <v>1186</v>
      </c>
      <c r="C71" s="26" t="s">
        <v>84</v>
      </c>
      <c r="D71" s="25">
        <v>4500075830</v>
      </c>
      <c r="E71" s="26">
        <v>4231912616</v>
      </c>
      <c r="F71" s="27" t="s">
        <v>3447</v>
      </c>
      <c r="G71" s="37"/>
      <c r="H71" s="38" t="s">
        <v>3448</v>
      </c>
      <c r="I71" s="26">
        <v>7560</v>
      </c>
      <c r="J71" s="26">
        <v>0</v>
      </c>
      <c r="K71" s="26">
        <v>18</v>
      </c>
      <c r="L71" s="49">
        <f t="shared" si="39"/>
        <v>420</v>
      </c>
      <c r="M71" s="31">
        <v>44692</v>
      </c>
      <c r="N71" s="32" t="s">
        <v>3457</v>
      </c>
      <c r="O71" s="50"/>
      <c r="P71" s="50"/>
      <c r="Q71" s="26"/>
      <c r="R71" s="66" t="s">
        <v>3496</v>
      </c>
      <c r="S71" s="66" t="s">
        <v>48</v>
      </c>
      <c r="T71" s="66">
        <v>44679</v>
      </c>
      <c r="U71" s="73" t="s">
        <v>3497</v>
      </c>
      <c r="V71" s="31" t="s">
        <v>3417</v>
      </c>
      <c r="W71" s="69">
        <v>2.0212</v>
      </c>
      <c r="X71" s="68">
        <f t="shared" si="54"/>
        <v>15280.272</v>
      </c>
      <c r="Y71" s="26"/>
      <c r="Z71" s="26"/>
      <c r="AA71" s="26" t="s">
        <v>3434</v>
      </c>
      <c r="AB71" s="26"/>
      <c r="AC71" s="26"/>
      <c r="AD71" s="36" t="s">
        <v>55</v>
      </c>
      <c r="AE71" s="26"/>
      <c r="AF71" s="66"/>
      <c r="AG71" s="4">
        <f t="shared" si="51"/>
        <v>7560</v>
      </c>
      <c r="AM71" s="4">
        <f t="shared" si="52"/>
        <v>7560</v>
      </c>
      <c r="AN71" s="4">
        <f t="shared" si="53"/>
        <v>7560</v>
      </c>
      <c r="AZ71" s="4">
        <f t="shared" si="55"/>
        <v>420</v>
      </c>
      <c r="BK71" s="83" t="e">
        <f>$AG71*#REF!</f>
        <v>#REF!</v>
      </c>
      <c r="BL71" s="83" t="e">
        <f>$AG71*#REF!</f>
        <v>#REF!</v>
      </c>
      <c r="BM71" s="83" t="e">
        <f>$AG71*#REF!</f>
        <v>#REF!</v>
      </c>
      <c r="BN71" s="83" t="e">
        <f>$AG71*#REF!</f>
        <v>#REF!</v>
      </c>
      <c r="BO71" s="83" t="e">
        <f>$AG71*#REF!</f>
        <v>#REF!</v>
      </c>
      <c r="BP71" s="83" t="e">
        <f>$AG71*#REF!</f>
        <v>#REF!</v>
      </c>
      <c r="BQ71" s="83" t="e">
        <f>$AG71*#REF!</f>
        <v>#REF!</v>
      </c>
      <c r="BR71" s="83" t="e">
        <f>$AG71*#REF!</f>
        <v>#REF!</v>
      </c>
      <c r="BS71" s="83" t="e">
        <f>$AG71*#REF!</f>
        <v>#REF!</v>
      </c>
      <c r="BT71" s="83" t="e">
        <f>$AG71*#REF!</f>
        <v>#REF!</v>
      </c>
      <c r="BU71" s="83" t="e">
        <f>$AG71*#REF!</f>
        <v>#REF!</v>
      </c>
      <c r="BV71" s="83" t="e">
        <f>$AG71*#REF!</f>
        <v>#REF!</v>
      </c>
      <c r="BW71" s="83" t="e">
        <f>$AG71*#REF!</f>
        <v>#REF!</v>
      </c>
      <c r="BX71" s="83" t="e">
        <f>$AG71*#REF!</f>
        <v>#REF!</v>
      </c>
      <c r="BY71" s="83" t="e">
        <f>$AG71*#REF!</f>
        <v>#REF!</v>
      </c>
      <c r="BZ71" s="83" t="e">
        <f>$AG71*#REF!</f>
        <v>#REF!</v>
      </c>
      <c r="CA71" s="83" t="e">
        <f>$AG71*#REF!</f>
        <v>#REF!</v>
      </c>
      <c r="CB71" s="83" t="e">
        <f>$AG71*#REF!</f>
        <v>#REF!</v>
      </c>
      <c r="CC71" s="83" t="e">
        <f>$AG71*#REF!</f>
        <v>#REF!</v>
      </c>
      <c r="CD71" s="83" t="e">
        <f>$AG71*#REF!</f>
        <v>#REF!</v>
      </c>
      <c r="CE71" s="83" t="e">
        <f>$AG71*#REF!</f>
        <v>#REF!</v>
      </c>
      <c r="CF71" s="83"/>
      <c r="CI71" s="4">
        <f t="shared" si="25"/>
        <v>0</v>
      </c>
      <c r="CL71" s="4">
        <f t="shared" si="29"/>
        <v>420</v>
      </c>
    </row>
    <row r="72" s="4" customFormat="1" ht="24" customHeight="1" spans="1:90">
      <c r="A72" s="24">
        <v>44663</v>
      </c>
      <c r="B72" s="25" t="s">
        <v>1186</v>
      </c>
      <c r="C72" s="26" t="s">
        <v>84</v>
      </c>
      <c r="D72" s="25">
        <v>4500075827</v>
      </c>
      <c r="E72" s="26">
        <v>4231912620</v>
      </c>
      <c r="F72" s="27" t="s">
        <v>3447</v>
      </c>
      <c r="G72" s="37"/>
      <c r="H72" s="38" t="s">
        <v>3448</v>
      </c>
      <c r="I72" s="26">
        <v>6480</v>
      </c>
      <c r="J72" s="26">
        <v>0</v>
      </c>
      <c r="K72" s="26">
        <v>18</v>
      </c>
      <c r="L72" s="49">
        <f t="shared" si="39"/>
        <v>360</v>
      </c>
      <c r="M72" s="31">
        <v>44692</v>
      </c>
      <c r="N72" s="32" t="s">
        <v>3457</v>
      </c>
      <c r="O72" s="50"/>
      <c r="P72" s="50"/>
      <c r="Q72" s="26"/>
      <c r="R72" s="66" t="s">
        <v>3496</v>
      </c>
      <c r="S72" s="66" t="s">
        <v>48</v>
      </c>
      <c r="T72" s="66">
        <v>44679</v>
      </c>
      <c r="U72" s="73" t="s">
        <v>3497</v>
      </c>
      <c r="V72" s="31" t="s">
        <v>3417</v>
      </c>
      <c r="W72" s="69">
        <v>2.0212</v>
      </c>
      <c r="X72" s="68">
        <f t="shared" si="54"/>
        <v>13097.376</v>
      </c>
      <c r="Y72" s="26"/>
      <c r="Z72" s="26"/>
      <c r="AA72" s="26" t="s">
        <v>3434</v>
      </c>
      <c r="AB72" s="26"/>
      <c r="AC72" s="26"/>
      <c r="AD72" s="36" t="s">
        <v>55</v>
      </c>
      <c r="AE72" s="26"/>
      <c r="AF72" s="66"/>
      <c r="AG72" s="4">
        <f t="shared" si="51"/>
        <v>6480</v>
      </c>
      <c r="AM72" s="4">
        <f t="shared" si="52"/>
        <v>6480</v>
      </c>
      <c r="AN72" s="4">
        <f t="shared" si="53"/>
        <v>6480</v>
      </c>
      <c r="AZ72" s="4">
        <f t="shared" si="55"/>
        <v>360</v>
      </c>
      <c r="BK72" s="83" t="e">
        <f>$AG72*#REF!</f>
        <v>#REF!</v>
      </c>
      <c r="BL72" s="83" t="e">
        <f>$AG72*#REF!</f>
        <v>#REF!</v>
      </c>
      <c r="BM72" s="83" t="e">
        <f>$AG72*#REF!</f>
        <v>#REF!</v>
      </c>
      <c r="BN72" s="83" t="e">
        <f>$AG72*#REF!</f>
        <v>#REF!</v>
      </c>
      <c r="BO72" s="83" t="e">
        <f>$AG72*#REF!</f>
        <v>#REF!</v>
      </c>
      <c r="BP72" s="83" t="e">
        <f>$AG72*#REF!</f>
        <v>#REF!</v>
      </c>
      <c r="BQ72" s="83" t="e">
        <f>$AG72*#REF!</f>
        <v>#REF!</v>
      </c>
      <c r="BR72" s="83" t="e">
        <f>$AG72*#REF!</f>
        <v>#REF!</v>
      </c>
      <c r="BS72" s="83" t="e">
        <f>$AG72*#REF!</f>
        <v>#REF!</v>
      </c>
      <c r="BT72" s="83" t="e">
        <f>$AG72*#REF!</f>
        <v>#REF!</v>
      </c>
      <c r="BU72" s="83" t="e">
        <f>$AG72*#REF!</f>
        <v>#REF!</v>
      </c>
      <c r="BV72" s="83" t="e">
        <f>$AG72*#REF!</f>
        <v>#REF!</v>
      </c>
      <c r="BW72" s="83" t="e">
        <f>$AG72*#REF!</f>
        <v>#REF!</v>
      </c>
      <c r="BX72" s="83" t="e">
        <f>$AG72*#REF!</f>
        <v>#REF!</v>
      </c>
      <c r="BY72" s="83" t="e">
        <f>$AG72*#REF!</f>
        <v>#REF!</v>
      </c>
      <c r="BZ72" s="83" t="e">
        <f>$AG72*#REF!</f>
        <v>#REF!</v>
      </c>
      <c r="CA72" s="83" t="e">
        <f>$AG72*#REF!</f>
        <v>#REF!</v>
      </c>
      <c r="CB72" s="83" t="e">
        <f>$AG72*#REF!</f>
        <v>#REF!</v>
      </c>
      <c r="CC72" s="83" t="e">
        <f>$AG72*#REF!</f>
        <v>#REF!</v>
      </c>
      <c r="CD72" s="83" t="e">
        <f>$AG72*#REF!</f>
        <v>#REF!</v>
      </c>
      <c r="CE72" s="83" t="e">
        <f>$AG72*#REF!</f>
        <v>#REF!</v>
      </c>
      <c r="CF72" s="83"/>
      <c r="CI72" s="4">
        <f t="shared" si="25"/>
        <v>0</v>
      </c>
      <c r="CL72" s="4">
        <f t="shared" si="29"/>
        <v>360</v>
      </c>
    </row>
    <row r="73" s="4" customFormat="1" ht="24" customHeight="1" spans="1:90">
      <c r="A73" s="24">
        <v>44663</v>
      </c>
      <c r="B73" s="25" t="s">
        <v>1186</v>
      </c>
      <c r="C73" s="26" t="s">
        <v>84</v>
      </c>
      <c r="D73" s="25">
        <v>4500075833</v>
      </c>
      <c r="E73" s="26">
        <v>4231912618</v>
      </c>
      <c r="F73" s="27" t="s">
        <v>3447</v>
      </c>
      <c r="G73" s="37"/>
      <c r="H73" s="38" t="s">
        <v>3448</v>
      </c>
      <c r="I73" s="26">
        <v>7560</v>
      </c>
      <c r="J73" s="26">
        <v>0</v>
      </c>
      <c r="K73" s="26">
        <v>18</v>
      </c>
      <c r="L73" s="49">
        <f t="shared" si="39"/>
        <v>420</v>
      </c>
      <c r="M73" s="31">
        <v>44692</v>
      </c>
      <c r="N73" s="32" t="s">
        <v>3457</v>
      </c>
      <c r="O73" s="50"/>
      <c r="P73" s="50"/>
      <c r="Q73" s="26"/>
      <c r="R73" s="66" t="s">
        <v>3496</v>
      </c>
      <c r="S73" s="66" t="s">
        <v>48</v>
      </c>
      <c r="T73" s="66">
        <v>44679</v>
      </c>
      <c r="U73" s="73" t="s">
        <v>3497</v>
      </c>
      <c r="V73" s="31" t="s">
        <v>3417</v>
      </c>
      <c r="W73" s="69">
        <v>2.0212</v>
      </c>
      <c r="X73" s="68">
        <f t="shared" si="54"/>
        <v>15280.272</v>
      </c>
      <c r="Y73" s="26"/>
      <c r="Z73" s="26"/>
      <c r="AA73" s="26" t="s">
        <v>3434</v>
      </c>
      <c r="AB73" s="26"/>
      <c r="AC73" s="26"/>
      <c r="AD73" s="36" t="s">
        <v>55</v>
      </c>
      <c r="AE73" s="26"/>
      <c r="AF73" s="66"/>
      <c r="AG73" s="4">
        <f t="shared" si="51"/>
        <v>7560</v>
      </c>
      <c r="AM73" s="4">
        <f t="shared" si="52"/>
        <v>7560</v>
      </c>
      <c r="AN73" s="4">
        <f t="shared" si="53"/>
        <v>7560</v>
      </c>
      <c r="AZ73" s="4">
        <f t="shared" si="55"/>
        <v>420</v>
      </c>
      <c r="BK73" s="83" t="e">
        <f>$AG73*#REF!</f>
        <v>#REF!</v>
      </c>
      <c r="BL73" s="83" t="e">
        <f>$AG73*#REF!</f>
        <v>#REF!</v>
      </c>
      <c r="BM73" s="83" t="e">
        <f>$AG73*#REF!</f>
        <v>#REF!</v>
      </c>
      <c r="BN73" s="83" t="e">
        <f>$AG73*#REF!</f>
        <v>#REF!</v>
      </c>
      <c r="BO73" s="83" t="e">
        <f>$AG73*#REF!</f>
        <v>#REF!</v>
      </c>
      <c r="BP73" s="83" t="e">
        <f>$AG73*#REF!</f>
        <v>#REF!</v>
      </c>
      <c r="BQ73" s="83" t="e">
        <f>$AG73*#REF!</f>
        <v>#REF!</v>
      </c>
      <c r="BR73" s="83" t="e">
        <f>$AG73*#REF!</f>
        <v>#REF!</v>
      </c>
      <c r="BS73" s="83" t="e">
        <f>$AG73*#REF!</f>
        <v>#REF!</v>
      </c>
      <c r="BT73" s="83" t="e">
        <f>$AG73*#REF!</f>
        <v>#REF!</v>
      </c>
      <c r="BU73" s="83" t="e">
        <f>$AG73*#REF!</f>
        <v>#REF!</v>
      </c>
      <c r="BV73" s="83" t="e">
        <f>$AG73*#REF!</f>
        <v>#REF!</v>
      </c>
      <c r="BW73" s="83" t="e">
        <f>$AG73*#REF!</f>
        <v>#REF!</v>
      </c>
      <c r="BX73" s="83" t="e">
        <f>$AG73*#REF!</f>
        <v>#REF!</v>
      </c>
      <c r="BY73" s="83" t="e">
        <f>$AG73*#REF!</f>
        <v>#REF!</v>
      </c>
      <c r="BZ73" s="83" t="e">
        <f>$AG73*#REF!</f>
        <v>#REF!</v>
      </c>
      <c r="CA73" s="83" t="e">
        <f>$AG73*#REF!</f>
        <v>#REF!</v>
      </c>
      <c r="CB73" s="83" t="e">
        <f>$AG73*#REF!</f>
        <v>#REF!</v>
      </c>
      <c r="CC73" s="83" t="e">
        <f>$AG73*#REF!</f>
        <v>#REF!</v>
      </c>
      <c r="CD73" s="83" t="e">
        <f>$AG73*#REF!</f>
        <v>#REF!</v>
      </c>
      <c r="CE73" s="83" t="e">
        <f>$AG73*#REF!</f>
        <v>#REF!</v>
      </c>
      <c r="CF73" s="83"/>
      <c r="CI73" s="4">
        <f t="shared" si="25"/>
        <v>0</v>
      </c>
      <c r="CL73" s="4">
        <f t="shared" si="29"/>
        <v>420</v>
      </c>
    </row>
    <row r="74" s="4" customFormat="1" ht="24" customHeight="1" spans="1:90">
      <c r="A74" s="24">
        <v>44663</v>
      </c>
      <c r="B74" s="25" t="s">
        <v>1186</v>
      </c>
      <c r="C74" s="26" t="s">
        <v>84</v>
      </c>
      <c r="D74" s="25">
        <v>4500075832</v>
      </c>
      <c r="E74" s="26">
        <v>4231912617</v>
      </c>
      <c r="F74" s="27" t="s">
        <v>3447</v>
      </c>
      <c r="G74" s="37"/>
      <c r="H74" s="38" t="s">
        <v>3448</v>
      </c>
      <c r="I74" s="26">
        <v>6480</v>
      </c>
      <c r="J74" s="26">
        <v>0</v>
      </c>
      <c r="K74" s="26">
        <v>18</v>
      </c>
      <c r="L74" s="49">
        <f t="shared" si="39"/>
        <v>360</v>
      </c>
      <c r="M74" s="31">
        <v>44692</v>
      </c>
      <c r="N74" s="32" t="s">
        <v>3457</v>
      </c>
      <c r="O74" s="50"/>
      <c r="P74" s="50"/>
      <c r="Q74" s="26"/>
      <c r="R74" s="66" t="s">
        <v>3496</v>
      </c>
      <c r="S74" s="66" t="s">
        <v>48</v>
      </c>
      <c r="T74" s="66">
        <v>44679</v>
      </c>
      <c r="U74" s="73" t="s">
        <v>3498</v>
      </c>
      <c r="V74" s="31" t="s">
        <v>3417</v>
      </c>
      <c r="W74" s="69">
        <v>2.0212</v>
      </c>
      <c r="X74" s="68">
        <f t="shared" si="54"/>
        <v>13097.376</v>
      </c>
      <c r="Y74" s="26"/>
      <c r="Z74" s="26"/>
      <c r="AA74" s="26" t="s">
        <v>3434</v>
      </c>
      <c r="AB74" s="26"/>
      <c r="AC74" s="26"/>
      <c r="AD74" s="36" t="s">
        <v>55</v>
      </c>
      <c r="AE74" s="26"/>
      <c r="AF74" s="66"/>
      <c r="AG74" s="4">
        <f t="shared" si="51"/>
        <v>6480</v>
      </c>
      <c r="AM74" s="4">
        <f t="shared" si="52"/>
        <v>6480</v>
      </c>
      <c r="AN74" s="4">
        <f t="shared" si="53"/>
        <v>6480</v>
      </c>
      <c r="AZ74" s="4">
        <f t="shared" si="55"/>
        <v>360</v>
      </c>
      <c r="BK74" s="83" t="e">
        <f>$AG74*#REF!</f>
        <v>#REF!</v>
      </c>
      <c r="BL74" s="83" t="e">
        <f>$AG74*#REF!</f>
        <v>#REF!</v>
      </c>
      <c r="BM74" s="83" t="e">
        <f>$AG74*#REF!</f>
        <v>#REF!</v>
      </c>
      <c r="BN74" s="83" t="e">
        <f>$AG74*#REF!</f>
        <v>#REF!</v>
      </c>
      <c r="BO74" s="83" t="e">
        <f>$AG74*#REF!</f>
        <v>#REF!</v>
      </c>
      <c r="BP74" s="83" t="e">
        <f>$AG74*#REF!</f>
        <v>#REF!</v>
      </c>
      <c r="BQ74" s="83" t="e">
        <f>$AG74*#REF!</f>
        <v>#REF!</v>
      </c>
      <c r="BR74" s="83" t="e">
        <f>$AG74*#REF!</f>
        <v>#REF!</v>
      </c>
      <c r="BS74" s="83" t="e">
        <f>$AG74*#REF!</f>
        <v>#REF!</v>
      </c>
      <c r="BT74" s="83" t="e">
        <f>$AG74*#REF!</f>
        <v>#REF!</v>
      </c>
      <c r="BU74" s="83" t="e">
        <f>$AG74*#REF!</f>
        <v>#REF!</v>
      </c>
      <c r="BV74" s="83" t="e">
        <f>$AG74*#REF!</f>
        <v>#REF!</v>
      </c>
      <c r="BW74" s="83" t="e">
        <f>$AG74*#REF!</f>
        <v>#REF!</v>
      </c>
      <c r="BX74" s="83" t="e">
        <f>$AG74*#REF!</f>
        <v>#REF!</v>
      </c>
      <c r="BY74" s="83" t="e">
        <f>$AG74*#REF!</f>
        <v>#REF!</v>
      </c>
      <c r="BZ74" s="83" t="e">
        <f>$AG74*#REF!</f>
        <v>#REF!</v>
      </c>
      <c r="CA74" s="83" t="e">
        <f>$AG74*#REF!</f>
        <v>#REF!</v>
      </c>
      <c r="CB74" s="83" t="e">
        <f>$AG74*#REF!</f>
        <v>#REF!</v>
      </c>
      <c r="CC74" s="83" t="e">
        <f>$AG74*#REF!</f>
        <v>#REF!</v>
      </c>
      <c r="CD74" s="83" t="e">
        <f>$AG74*#REF!</f>
        <v>#REF!</v>
      </c>
      <c r="CE74" s="83" t="e">
        <f>$AG74*#REF!</f>
        <v>#REF!</v>
      </c>
      <c r="CF74" s="83"/>
      <c r="CI74" s="4">
        <f t="shared" si="25"/>
        <v>0</v>
      </c>
      <c r="CL74" s="4">
        <f t="shared" si="29"/>
        <v>360</v>
      </c>
    </row>
    <row r="75" s="4" customFormat="1" ht="24" customHeight="1" spans="1:90">
      <c r="A75" s="24">
        <v>44666</v>
      </c>
      <c r="B75" s="25" t="s">
        <v>1186</v>
      </c>
      <c r="C75" s="26" t="s">
        <v>84</v>
      </c>
      <c r="D75" s="25">
        <v>4500076201</v>
      </c>
      <c r="E75" s="26">
        <v>4231912729</v>
      </c>
      <c r="F75" s="27" t="s">
        <v>3447</v>
      </c>
      <c r="G75" s="37"/>
      <c r="H75" s="38" t="s">
        <v>3448</v>
      </c>
      <c r="I75" s="26">
        <v>4320</v>
      </c>
      <c r="J75" s="26">
        <v>0</v>
      </c>
      <c r="K75" s="26">
        <v>18</v>
      </c>
      <c r="L75" s="49">
        <f t="shared" si="39"/>
        <v>240</v>
      </c>
      <c r="M75" s="31">
        <v>44706</v>
      </c>
      <c r="N75" s="32" t="s">
        <v>3457</v>
      </c>
      <c r="O75" s="50"/>
      <c r="P75" s="50"/>
      <c r="Q75" s="26"/>
      <c r="R75" s="66" t="s">
        <v>3499</v>
      </c>
      <c r="S75" s="66" t="s">
        <v>48</v>
      </c>
      <c r="T75" s="66">
        <v>44679</v>
      </c>
      <c r="U75" s="73" t="s">
        <v>3500</v>
      </c>
      <c r="V75" s="31" t="s">
        <v>3417</v>
      </c>
      <c r="W75" s="69">
        <v>2.0414</v>
      </c>
      <c r="X75" s="68">
        <f t="shared" si="54"/>
        <v>8818.848</v>
      </c>
      <c r="Y75" s="26"/>
      <c r="Z75" s="26"/>
      <c r="AA75" s="26" t="s">
        <v>3434</v>
      </c>
      <c r="AB75" s="26"/>
      <c r="AC75" s="26">
        <f>AB75-I75</f>
        <v>-4320</v>
      </c>
      <c r="AD75" s="36" t="s">
        <v>55</v>
      </c>
      <c r="AE75" s="26"/>
      <c r="AF75" s="66"/>
      <c r="AG75" s="4">
        <f t="shared" si="51"/>
        <v>4320</v>
      </c>
      <c r="AM75" s="4">
        <f t="shared" si="52"/>
        <v>4320</v>
      </c>
      <c r="AN75" s="4">
        <f t="shared" si="53"/>
        <v>4320</v>
      </c>
      <c r="BA75" s="4">
        <f t="shared" ref="BA75:BA81" si="56">I75/18</f>
        <v>240</v>
      </c>
      <c r="BK75" s="83" t="e">
        <f>$AG75*#REF!</f>
        <v>#REF!</v>
      </c>
      <c r="BL75" s="83" t="e">
        <f>$AG75*#REF!</f>
        <v>#REF!</v>
      </c>
      <c r="BM75" s="83" t="e">
        <f>$AG75*#REF!</f>
        <v>#REF!</v>
      </c>
      <c r="BN75" s="83" t="e">
        <f>$AG75*#REF!</f>
        <v>#REF!</v>
      </c>
      <c r="BO75" s="83" t="e">
        <f>$AG75*#REF!</f>
        <v>#REF!</v>
      </c>
      <c r="BP75" s="83" t="e">
        <f>$AG75*#REF!</f>
        <v>#REF!</v>
      </c>
      <c r="BQ75" s="83" t="e">
        <f>$AG75*#REF!</f>
        <v>#REF!</v>
      </c>
      <c r="BR75" s="83" t="e">
        <f>$AG75*#REF!</f>
        <v>#REF!</v>
      </c>
      <c r="BS75" s="83" t="e">
        <f>$AG75*#REF!</f>
        <v>#REF!</v>
      </c>
      <c r="BT75" s="83" t="e">
        <f>$AG75*#REF!</f>
        <v>#REF!</v>
      </c>
      <c r="BU75" s="83" t="e">
        <f>$AG75*#REF!</f>
        <v>#REF!</v>
      </c>
      <c r="BV75" s="83" t="e">
        <f>$AG75*#REF!</f>
        <v>#REF!</v>
      </c>
      <c r="BW75" s="83" t="e">
        <f>$AG75*#REF!</f>
        <v>#REF!</v>
      </c>
      <c r="BX75" s="83" t="e">
        <f>$AG75*#REF!</f>
        <v>#REF!</v>
      </c>
      <c r="BY75" s="83" t="e">
        <f>$AG75*#REF!</f>
        <v>#REF!</v>
      </c>
      <c r="BZ75" s="83" t="e">
        <f>$AG75*#REF!</f>
        <v>#REF!</v>
      </c>
      <c r="CA75" s="83" t="e">
        <f>$AG75*#REF!</f>
        <v>#REF!</v>
      </c>
      <c r="CB75" s="83" t="e">
        <f>$AG75*#REF!</f>
        <v>#REF!</v>
      </c>
      <c r="CC75" s="83" t="e">
        <f>$AG75*#REF!</f>
        <v>#REF!</v>
      </c>
      <c r="CD75" s="83" t="e">
        <f>$AG75*#REF!</f>
        <v>#REF!</v>
      </c>
      <c r="CE75" s="83" t="e">
        <f>$AG75*#REF!</f>
        <v>#REF!</v>
      </c>
      <c r="CF75" s="83"/>
      <c r="CI75" s="4">
        <f t="shared" si="25"/>
        <v>0</v>
      </c>
      <c r="CL75" s="4">
        <f t="shared" si="29"/>
        <v>240</v>
      </c>
    </row>
    <row r="76" s="4" customFormat="1" ht="24" customHeight="1" spans="1:90">
      <c r="A76" s="24">
        <v>44666</v>
      </c>
      <c r="B76" s="25" t="s">
        <v>1186</v>
      </c>
      <c r="C76" s="26" t="s">
        <v>84</v>
      </c>
      <c r="D76" s="25">
        <v>4500076201</v>
      </c>
      <c r="E76" s="26">
        <v>4231912730</v>
      </c>
      <c r="F76" s="27" t="s">
        <v>3447</v>
      </c>
      <c r="G76" s="37"/>
      <c r="H76" s="38" t="s">
        <v>3448</v>
      </c>
      <c r="I76" s="26">
        <v>3240</v>
      </c>
      <c r="J76" s="26">
        <v>0</v>
      </c>
      <c r="K76" s="26">
        <v>18</v>
      </c>
      <c r="L76" s="49">
        <f t="shared" si="39"/>
        <v>180</v>
      </c>
      <c r="M76" s="31">
        <v>44706</v>
      </c>
      <c r="N76" s="32" t="s">
        <v>3457</v>
      </c>
      <c r="O76" s="50"/>
      <c r="P76" s="50"/>
      <c r="Q76" s="26"/>
      <c r="R76" s="66" t="s">
        <v>3499</v>
      </c>
      <c r="S76" s="66" t="s">
        <v>48</v>
      </c>
      <c r="T76" s="66">
        <v>44679</v>
      </c>
      <c r="U76" s="73" t="s">
        <v>3500</v>
      </c>
      <c r="V76" s="31" t="s">
        <v>3417</v>
      </c>
      <c r="W76" s="69">
        <v>2.0414</v>
      </c>
      <c r="X76" s="68">
        <f t="shared" si="54"/>
        <v>6614.136</v>
      </c>
      <c r="Y76" s="26"/>
      <c r="Z76" s="26"/>
      <c r="AA76" s="26" t="s">
        <v>3434</v>
      </c>
      <c r="AB76" s="26"/>
      <c r="AC76" s="26"/>
      <c r="AD76" s="36" t="s">
        <v>55</v>
      </c>
      <c r="AE76" s="26"/>
      <c r="AF76" s="66"/>
      <c r="AG76" s="4">
        <f t="shared" si="51"/>
        <v>3240</v>
      </c>
      <c r="AM76" s="4">
        <f t="shared" si="52"/>
        <v>3240</v>
      </c>
      <c r="AN76" s="4">
        <f t="shared" si="53"/>
        <v>3240</v>
      </c>
      <c r="BA76" s="4">
        <f t="shared" si="56"/>
        <v>180</v>
      </c>
      <c r="BK76" s="83" t="e">
        <f>$AG76*#REF!</f>
        <v>#REF!</v>
      </c>
      <c r="BL76" s="83" t="e">
        <f>$AG76*#REF!</f>
        <v>#REF!</v>
      </c>
      <c r="BM76" s="83" t="e">
        <f>$AG76*#REF!</f>
        <v>#REF!</v>
      </c>
      <c r="BN76" s="83" t="e">
        <f>$AG76*#REF!</f>
        <v>#REF!</v>
      </c>
      <c r="BO76" s="83" t="e">
        <f>$AG76*#REF!</f>
        <v>#REF!</v>
      </c>
      <c r="BP76" s="83" t="e">
        <f>$AG76*#REF!</f>
        <v>#REF!</v>
      </c>
      <c r="BQ76" s="83" t="e">
        <f>$AG76*#REF!</f>
        <v>#REF!</v>
      </c>
      <c r="BR76" s="83" t="e">
        <f>$AG76*#REF!</f>
        <v>#REF!</v>
      </c>
      <c r="BS76" s="83" t="e">
        <f>$AG76*#REF!</f>
        <v>#REF!</v>
      </c>
      <c r="BT76" s="83" t="e">
        <f>$AG76*#REF!</f>
        <v>#REF!</v>
      </c>
      <c r="BU76" s="83" t="e">
        <f>$AG76*#REF!</f>
        <v>#REF!</v>
      </c>
      <c r="BV76" s="83" t="e">
        <f>$AG76*#REF!</f>
        <v>#REF!</v>
      </c>
      <c r="BW76" s="83" t="e">
        <f>$AG76*#REF!</f>
        <v>#REF!</v>
      </c>
      <c r="BX76" s="83" t="e">
        <f>$AG76*#REF!</f>
        <v>#REF!</v>
      </c>
      <c r="BY76" s="83" t="e">
        <f>$AG76*#REF!</f>
        <v>#REF!</v>
      </c>
      <c r="BZ76" s="83" t="e">
        <f>$AG76*#REF!</f>
        <v>#REF!</v>
      </c>
      <c r="CA76" s="83" t="e">
        <f>$AG76*#REF!</f>
        <v>#REF!</v>
      </c>
      <c r="CB76" s="83" t="e">
        <f>$AG76*#REF!</f>
        <v>#REF!</v>
      </c>
      <c r="CC76" s="83" t="e">
        <f>$AG76*#REF!</f>
        <v>#REF!</v>
      </c>
      <c r="CD76" s="83" t="e">
        <f>$AG76*#REF!</f>
        <v>#REF!</v>
      </c>
      <c r="CE76" s="83" t="e">
        <f>$AG76*#REF!</f>
        <v>#REF!</v>
      </c>
      <c r="CF76" s="83"/>
      <c r="CI76" s="4">
        <f t="shared" si="25"/>
        <v>0</v>
      </c>
      <c r="CL76" s="4">
        <f t="shared" si="29"/>
        <v>180</v>
      </c>
    </row>
    <row r="77" s="4" customFormat="1" ht="24" customHeight="1" spans="1:90">
      <c r="A77" s="24">
        <v>44666</v>
      </c>
      <c r="B77" s="25" t="s">
        <v>1186</v>
      </c>
      <c r="C77" s="26" t="s">
        <v>84</v>
      </c>
      <c r="D77" s="25">
        <v>4500076201</v>
      </c>
      <c r="E77" s="26">
        <v>4231912731</v>
      </c>
      <c r="F77" s="27" t="s">
        <v>3447</v>
      </c>
      <c r="G77" s="37"/>
      <c r="H77" s="38" t="s">
        <v>3448</v>
      </c>
      <c r="I77" s="26">
        <v>3240</v>
      </c>
      <c r="J77" s="26">
        <v>0</v>
      </c>
      <c r="K77" s="26">
        <v>18</v>
      </c>
      <c r="L77" s="49">
        <f t="shared" si="39"/>
        <v>180</v>
      </c>
      <c r="M77" s="31">
        <v>44706</v>
      </c>
      <c r="N77" s="32" t="s">
        <v>3457</v>
      </c>
      <c r="O77" s="50"/>
      <c r="P77" s="50"/>
      <c r="Q77" s="26"/>
      <c r="R77" s="66" t="s">
        <v>3499</v>
      </c>
      <c r="S77" s="66" t="s">
        <v>48</v>
      </c>
      <c r="T77" s="66">
        <v>44679</v>
      </c>
      <c r="U77" s="73" t="s">
        <v>3500</v>
      </c>
      <c r="V77" s="31" t="s">
        <v>3417</v>
      </c>
      <c r="W77" s="69">
        <v>2.0414</v>
      </c>
      <c r="X77" s="68">
        <f t="shared" si="54"/>
        <v>6614.136</v>
      </c>
      <c r="Y77" s="26"/>
      <c r="Z77" s="26"/>
      <c r="AA77" s="26" t="s">
        <v>3434</v>
      </c>
      <c r="AB77" s="26"/>
      <c r="AC77" s="26"/>
      <c r="AD77" s="36" t="s">
        <v>55</v>
      </c>
      <c r="AE77" s="26"/>
      <c r="AF77" s="66"/>
      <c r="AG77" s="4">
        <f t="shared" si="51"/>
        <v>3240</v>
      </c>
      <c r="AM77" s="4">
        <f t="shared" si="52"/>
        <v>3240</v>
      </c>
      <c r="AN77" s="4">
        <f t="shared" si="53"/>
        <v>3240</v>
      </c>
      <c r="BA77" s="4">
        <f t="shared" si="56"/>
        <v>180</v>
      </c>
      <c r="BK77" s="83" t="e">
        <f>$AG77*#REF!</f>
        <v>#REF!</v>
      </c>
      <c r="BL77" s="83" t="e">
        <f>$AG77*#REF!</f>
        <v>#REF!</v>
      </c>
      <c r="BM77" s="83" t="e">
        <f>$AG77*#REF!</f>
        <v>#REF!</v>
      </c>
      <c r="BN77" s="83" t="e">
        <f>$AG77*#REF!</f>
        <v>#REF!</v>
      </c>
      <c r="BO77" s="83" t="e">
        <f>$AG77*#REF!</f>
        <v>#REF!</v>
      </c>
      <c r="BP77" s="83" t="e">
        <f>$AG77*#REF!</f>
        <v>#REF!</v>
      </c>
      <c r="BQ77" s="83" t="e">
        <f>$AG77*#REF!</f>
        <v>#REF!</v>
      </c>
      <c r="BR77" s="83" t="e">
        <f>$AG77*#REF!</f>
        <v>#REF!</v>
      </c>
      <c r="BS77" s="83" t="e">
        <f>$AG77*#REF!</f>
        <v>#REF!</v>
      </c>
      <c r="BT77" s="83" t="e">
        <f>$AG77*#REF!</f>
        <v>#REF!</v>
      </c>
      <c r="BU77" s="83" t="e">
        <f>$AG77*#REF!</f>
        <v>#REF!</v>
      </c>
      <c r="BV77" s="83" t="e">
        <f>$AG77*#REF!</f>
        <v>#REF!</v>
      </c>
      <c r="BW77" s="83" t="e">
        <f>$AG77*#REF!</f>
        <v>#REF!</v>
      </c>
      <c r="BX77" s="83" t="e">
        <f>$AG77*#REF!</f>
        <v>#REF!</v>
      </c>
      <c r="BY77" s="83" t="e">
        <f>$AG77*#REF!</f>
        <v>#REF!</v>
      </c>
      <c r="BZ77" s="83" t="e">
        <f>$AG77*#REF!</f>
        <v>#REF!</v>
      </c>
      <c r="CA77" s="83" t="e">
        <f>$AG77*#REF!</f>
        <v>#REF!</v>
      </c>
      <c r="CB77" s="83" t="e">
        <f>$AG77*#REF!</f>
        <v>#REF!</v>
      </c>
      <c r="CC77" s="83" t="e">
        <f>$AG77*#REF!</f>
        <v>#REF!</v>
      </c>
      <c r="CD77" s="83" t="e">
        <f>$AG77*#REF!</f>
        <v>#REF!</v>
      </c>
      <c r="CE77" s="83" t="e">
        <f>$AG77*#REF!</f>
        <v>#REF!</v>
      </c>
      <c r="CF77" s="83"/>
      <c r="CI77" s="4">
        <f t="shared" si="25"/>
        <v>0</v>
      </c>
      <c r="CL77" s="4">
        <f t="shared" si="29"/>
        <v>180</v>
      </c>
    </row>
    <row r="78" s="4" customFormat="1" ht="24" customHeight="1" spans="1:90">
      <c r="A78" s="24">
        <v>44666</v>
      </c>
      <c r="B78" s="25" t="s">
        <v>1186</v>
      </c>
      <c r="C78" s="26" t="s">
        <v>84</v>
      </c>
      <c r="D78" s="25">
        <v>4500076201</v>
      </c>
      <c r="E78" s="26">
        <v>4231912732</v>
      </c>
      <c r="F78" s="27" t="s">
        <v>3447</v>
      </c>
      <c r="G78" s="37"/>
      <c r="H78" s="38" t="s">
        <v>3448</v>
      </c>
      <c r="I78" s="26">
        <v>4320</v>
      </c>
      <c r="J78" s="26">
        <v>0</v>
      </c>
      <c r="K78" s="26">
        <v>18</v>
      </c>
      <c r="L78" s="49">
        <f t="shared" si="39"/>
        <v>240</v>
      </c>
      <c r="M78" s="31">
        <v>44706</v>
      </c>
      <c r="N78" s="32" t="s">
        <v>3457</v>
      </c>
      <c r="O78" s="50"/>
      <c r="P78" s="50"/>
      <c r="Q78" s="26"/>
      <c r="R78" s="66" t="s">
        <v>3499</v>
      </c>
      <c r="S78" s="66" t="s">
        <v>48</v>
      </c>
      <c r="T78" s="66">
        <v>44679</v>
      </c>
      <c r="U78" s="73" t="s">
        <v>3500</v>
      </c>
      <c r="V78" s="31" t="s">
        <v>3417</v>
      </c>
      <c r="W78" s="69">
        <v>2.0414</v>
      </c>
      <c r="X78" s="68">
        <f t="shared" si="54"/>
        <v>8818.848</v>
      </c>
      <c r="Y78" s="26"/>
      <c r="Z78" s="26"/>
      <c r="AA78" s="26" t="s">
        <v>3434</v>
      </c>
      <c r="AB78" s="26"/>
      <c r="AC78" s="26"/>
      <c r="AD78" s="36" t="s">
        <v>55</v>
      </c>
      <c r="AE78" s="26"/>
      <c r="AF78" s="66"/>
      <c r="AG78" s="4">
        <f t="shared" si="51"/>
        <v>4320</v>
      </c>
      <c r="AM78" s="4">
        <f t="shared" si="52"/>
        <v>4320</v>
      </c>
      <c r="AN78" s="4">
        <f t="shared" si="53"/>
        <v>4320</v>
      </c>
      <c r="BA78" s="4">
        <f t="shared" si="56"/>
        <v>240</v>
      </c>
      <c r="BK78" s="83" t="e">
        <f>$AG78*#REF!</f>
        <v>#REF!</v>
      </c>
      <c r="BL78" s="83" t="e">
        <f>$AG78*#REF!</f>
        <v>#REF!</v>
      </c>
      <c r="BM78" s="83" t="e">
        <f>$AG78*#REF!</f>
        <v>#REF!</v>
      </c>
      <c r="BN78" s="83" t="e">
        <f>$AG78*#REF!</f>
        <v>#REF!</v>
      </c>
      <c r="BO78" s="83" t="e">
        <f>$AG78*#REF!</f>
        <v>#REF!</v>
      </c>
      <c r="BP78" s="83" t="e">
        <f>$AG78*#REF!</f>
        <v>#REF!</v>
      </c>
      <c r="BQ78" s="83" t="e">
        <f>$AG78*#REF!</f>
        <v>#REF!</v>
      </c>
      <c r="BR78" s="83" t="e">
        <f>$AG78*#REF!</f>
        <v>#REF!</v>
      </c>
      <c r="BS78" s="83" t="e">
        <f>$AG78*#REF!</f>
        <v>#REF!</v>
      </c>
      <c r="BT78" s="83" t="e">
        <f>$AG78*#REF!</f>
        <v>#REF!</v>
      </c>
      <c r="BU78" s="83" t="e">
        <f>$AG78*#REF!</f>
        <v>#REF!</v>
      </c>
      <c r="BV78" s="83" t="e">
        <f>$AG78*#REF!</f>
        <v>#REF!</v>
      </c>
      <c r="BW78" s="83" t="e">
        <f>$AG78*#REF!</f>
        <v>#REF!</v>
      </c>
      <c r="BX78" s="83" t="e">
        <f>$AG78*#REF!</f>
        <v>#REF!</v>
      </c>
      <c r="BY78" s="83" t="e">
        <f>$AG78*#REF!</f>
        <v>#REF!</v>
      </c>
      <c r="BZ78" s="83" t="e">
        <f>$AG78*#REF!</f>
        <v>#REF!</v>
      </c>
      <c r="CA78" s="83" t="e">
        <f>$AG78*#REF!</f>
        <v>#REF!</v>
      </c>
      <c r="CB78" s="83" t="e">
        <f>$AG78*#REF!</f>
        <v>#REF!</v>
      </c>
      <c r="CC78" s="83" t="e">
        <f>$AG78*#REF!</f>
        <v>#REF!</v>
      </c>
      <c r="CD78" s="83" t="e">
        <f>$AG78*#REF!</f>
        <v>#REF!</v>
      </c>
      <c r="CE78" s="83" t="e">
        <f>$AG78*#REF!</f>
        <v>#REF!</v>
      </c>
      <c r="CF78" s="83"/>
      <c r="CI78" s="4">
        <f t="shared" si="25"/>
        <v>0</v>
      </c>
      <c r="CL78" s="4">
        <f t="shared" si="29"/>
        <v>240</v>
      </c>
    </row>
    <row r="79" s="4" customFormat="1" ht="24" customHeight="1" spans="1:90">
      <c r="A79" s="24">
        <v>44666</v>
      </c>
      <c r="B79" s="25" t="s">
        <v>1186</v>
      </c>
      <c r="C79" s="26" t="s">
        <v>84</v>
      </c>
      <c r="D79" s="25">
        <v>4500076201</v>
      </c>
      <c r="E79" s="26">
        <v>4231912733</v>
      </c>
      <c r="F79" s="27" t="s">
        <v>3447</v>
      </c>
      <c r="G79" s="37"/>
      <c r="H79" s="38" t="s">
        <v>3448</v>
      </c>
      <c r="I79" s="26">
        <v>3240</v>
      </c>
      <c r="J79" s="26">
        <v>0</v>
      </c>
      <c r="K79" s="26">
        <v>18</v>
      </c>
      <c r="L79" s="49">
        <f t="shared" si="39"/>
        <v>180</v>
      </c>
      <c r="M79" s="31">
        <v>44706</v>
      </c>
      <c r="N79" s="32" t="s">
        <v>3457</v>
      </c>
      <c r="O79" s="50"/>
      <c r="P79" s="50"/>
      <c r="Q79" s="26"/>
      <c r="R79" s="66" t="s">
        <v>3499</v>
      </c>
      <c r="S79" s="66" t="s">
        <v>48</v>
      </c>
      <c r="T79" s="66">
        <v>44679</v>
      </c>
      <c r="U79" s="73" t="s">
        <v>3500</v>
      </c>
      <c r="V79" s="31" t="s">
        <v>3417</v>
      </c>
      <c r="W79" s="69">
        <v>2.0414</v>
      </c>
      <c r="X79" s="68">
        <f t="shared" si="54"/>
        <v>6614.136</v>
      </c>
      <c r="Y79" s="26"/>
      <c r="Z79" s="26"/>
      <c r="AA79" s="26" t="s">
        <v>3434</v>
      </c>
      <c r="AB79" s="26"/>
      <c r="AC79" s="26"/>
      <c r="AD79" s="36" t="s">
        <v>55</v>
      </c>
      <c r="AE79" s="26"/>
      <c r="AF79" s="66"/>
      <c r="AG79" s="4">
        <f t="shared" si="51"/>
        <v>3240</v>
      </c>
      <c r="AM79" s="4">
        <f t="shared" si="52"/>
        <v>3240</v>
      </c>
      <c r="AN79" s="4">
        <f t="shared" si="53"/>
        <v>3240</v>
      </c>
      <c r="BA79" s="4">
        <f t="shared" si="56"/>
        <v>180</v>
      </c>
      <c r="BK79" s="83" t="e">
        <f>$AG79*#REF!</f>
        <v>#REF!</v>
      </c>
      <c r="BL79" s="83" t="e">
        <f>$AG79*#REF!</f>
        <v>#REF!</v>
      </c>
      <c r="BM79" s="83" t="e">
        <f>$AG79*#REF!</f>
        <v>#REF!</v>
      </c>
      <c r="BN79" s="83" t="e">
        <f>$AG79*#REF!</f>
        <v>#REF!</v>
      </c>
      <c r="BO79" s="83" t="e">
        <f>$AG79*#REF!</f>
        <v>#REF!</v>
      </c>
      <c r="BP79" s="83" t="e">
        <f>$AG79*#REF!</f>
        <v>#REF!</v>
      </c>
      <c r="BQ79" s="83" t="e">
        <f>$AG79*#REF!</f>
        <v>#REF!</v>
      </c>
      <c r="BR79" s="83" t="e">
        <f>$AG79*#REF!</f>
        <v>#REF!</v>
      </c>
      <c r="BS79" s="83" t="e">
        <f>$AG79*#REF!</f>
        <v>#REF!</v>
      </c>
      <c r="BT79" s="83" t="e">
        <f>$AG79*#REF!</f>
        <v>#REF!</v>
      </c>
      <c r="BU79" s="83" t="e">
        <f>$AG79*#REF!</f>
        <v>#REF!</v>
      </c>
      <c r="BV79" s="83" t="e">
        <f>$AG79*#REF!</f>
        <v>#REF!</v>
      </c>
      <c r="BW79" s="83" t="e">
        <f>$AG79*#REF!</f>
        <v>#REF!</v>
      </c>
      <c r="BX79" s="83" t="e">
        <f>$AG79*#REF!</f>
        <v>#REF!</v>
      </c>
      <c r="BY79" s="83" t="e">
        <f>$AG79*#REF!</f>
        <v>#REF!</v>
      </c>
      <c r="BZ79" s="83" t="e">
        <f>$AG79*#REF!</f>
        <v>#REF!</v>
      </c>
      <c r="CA79" s="83" t="e">
        <f>$AG79*#REF!</f>
        <v>#REF!</v>
      </c>
      <c r="CB79" s="83" t="e">
        <f>$AG79*#REF!</f>
        <v>#REF!</v>
      </c>
      <c r="CC79" s="83" t="e">
        <f>$AG79*#REF!</f>
        <v>#REF!</v>
      </c>
      <c r="CD79" s="83" t="e">
        <f>$AG79*#REF!</f>
        <v>#REF!</v>
      </c>
      <c r="CE79" s="83" t="e">
        <f>$AG79*#REF!</f>
        <v>#REF!</v>
      </c>
      <c r="CF79" s="83"/>
      <c r="CI79" s="4">
        <f t="shared" si="25"/>
        <v>0</v>
      </c>
      <c r="CL79" s="4">
        <f t="shared" si="29"/>
        <v>180</v>
      </c>
    </row>
    <row r="80" s="4" customFormat="1" ht="24" customHeight="1" spans="1:90">
      <c r="A80" s="24">
        <v>44666</v>
      </c>
      <c r="B80" s="25" t="s">
        <v>1186</v>
      </c>
      <c r="C80" s="26" t="s">
        <v>84</v>
      </c>
      <c r="D80" s="25">
        <v>4500076201</v>
      </c>
      <c r="E80" s="26">
        <v>4231912734</v>
      </c>
      <c r="F80" s="27" t="s">
        <v>3447</v>
      </c>
      <c r="G80" s="37"/>
      <c r="H80" s="38" t="s">
        <v>3448</v>
      </c>
      <c r="I80" s="26">
        <v>2160</v>
      </c>
      <c r="J80" s="26">
        <v>0</v>
      </c>
      <c r="K80" s="26">
        <v>18</v>
      </c>
      <c r="L80" s="49">
        <f t="shared" si="39"/>
        <v>120</v>
      </c>
      <c r="M80" s="31">
        <v>44706</v>
      </c>
      <c r="N80" s="32" t="s">
        <v>3457</v>
      </c>
      <c r="O80" s="50"/>
      <c r="P80" s="50"/>
      <c r="Q80" s="26"/>
      <c r="R80" s="66" t="s">
        <v>3499</v>
      </c>
      <c r="S80" s="66" t="s">
        <v>48</v>
      </c>
      <c r="T80" s="66">
        <v>44679</v>
      </c>
      <c r="U80" s="73" t="s">
        <v>3500</v>
      </c>
      <c r="V80" s="31" t="s">
        <v>3417</v>
      </c>
      <c r="W80" s="69">
        <v>2.0414</v>
      </c>
      <c r="X80" s="68">
        <f t="shared" si="54"/>
        <v>4409.424</v>
      </c>
      <c r="Y80" s="26"/>
      <c r="Z80" s="26"/>
      <c r="AA80" s="26" t="s">
        <v>3434</v>
      </c>
      <c r="AB80" s="26"/>
      <c r="AC80" s="26"/>
      <c r="AD80" s="36" t="s">
        <v>55</v>
      </c>
      <c r="AE80" s="26"/>
      <c r="AF80" s="66"/>
      <c r="AG80" s="4">
        <f t="shared" si="51"/>
        <v>2160</v>
      </c>
      <c r="AM80" s="4">
        <f t="shared" si="52"/>
        <v>2160</v>
      </c>
      <c r="AN80" s="4">
        <f t="shared" si="53"/>
        <v>2160</v>
      </c>
      <c r="BA80" s="4">
        <f t="shared" si="56"/>
        <v>120</v>
      </c>
      <c r="BK80" s="83" t="e">
        <f>$AG80*#REF!</f>
        <v>#REF!</v>
      </c>
      <c r="BL80" s="83" t="e">
        <f>$AG80*#REF!</f>
        <v>#REF!</v>
      </c>
      <c r="BM80" s="83" t="e">
        <f>$AG80*#REF!</f>
        <v>#REF!</v>
      </c>
      <c r="BN80" s="83" t="e">
        <f>$AG80*#REF!</f>
        <v>#REF!</v>
      </c>
      <c r="BO80" s="83" t="e">
        <f>$AG80*#REF!</f>
        <v>#REF!</v>
      </c>
      <c r="BP80" s="83" t="e">
        <f>$AG80*#REF!</f>
        <v>#REF!</v>
      </c>
      <c r="BQ80" s="83" t="e">
        <f>$AG80*#REF!</f>
        <v>#REF!</v>
      </c>
      <c r="BR80" s="83" t="e">
        <f>$AG80*#REF!</f>
        <v>#REF!</v>
      </c>
      <c r="BS80" s="83" t="e">
        <f>$AG80*#REF!</f>
        <v>#REF!</v>
      </c>
      <c r="BT80" s="83" t="e">
        <f>$AG80*#REF!</f>
        <v>#REF!</v>
      </c>
      <c r="BU80" s="83" t="e">
        <f>$AG80*#REF!</f>
        <v>#REF!</v>
      </c>
      <c r="BV80" s="83" t="e">
        <f>$AG80*#REF!</f>
        <v>#REF!</v>
      </c>
      <c r="BW80" s="83" t="e">
        <f>$AG80*#REF!</f>
        <v>#REF!</v>
      </c>
      <c r="BX80" s="83" t="e">
        <f>$AG80*#REF!</f>
        <v>#REF!</v>
      </c>
      <c r="BY80" s="83" t="e">
        <f>$AG80*#REF!</f>
        <v>#REF!</v>
      </c>
      <c r="BZ80" s="83" t="e">
        <f>$AG80*#REF!</f>
        <v>#REF!</v>
      </c>
      <c r="CA80" s="83" t="e">
        <f>$AG80*#REF!</f>
        <v>#REF!</v>
      </c>
      <c r="CB80" s="83" t="e">
        <f>$AG80*#REF!</f>
        <v>#REF!</v>
      </c>
      <c r="CC80" s="83" t="e">
        <f>$AG80*#REF!</f>
        <v>#REF!</v>
      </c>
      <c r="CD80" s="83" t="e">
        <f>$AG80*#REF!</f>
        <v>#REF!</v>
      </c>
      <c r="CE80" s="83" t="e">
        <f>$AG80*#REF!</f>
        <v>#REF!</v>
      </c>
      <c r="CF80" s="83"/>
      <c r="CI80" s="4">
        <f t="shared" si="25"/>
        <v>0</v>
      </c>
      <c r="CL80" s="4">
        <f t="shared" si="29"/>
        <v>120</v>
      </c>
    </row>
    <row r="81" s="4" customFormat="1" ht="24" customHeight="1" spans="1:90">
      <c r="A81" s="24">
        <v>44666</v>
      </c>
      <c r="B81" s="25" t="s">
        <v>1186</v>
      </c>
      <c r="C81" s="26" t="s">
        <v>84</v>
      </c>
      <c r="D81" s="25">
        <v>4500076201</v>
      </c>
      <c r="E81" s="26">
        <v>4231912735</v>
      </c>
      <c r="F81" s="27" t="s">
        <v>3447</v>
      </c>
      <c r="G81" s="37"/>
      <c r="H81" s="38" t="s">
        <v>3448</v>
      </c>
      <c r="I81" s="26">
        <v>2160</v>
      </c>
      <c r="J81" s="26">
        <v>0</v>
      </c>
      <c r="K81" s="26">
        <v>18</v>
      </c>
      <c r="L81" s="49">
        <f t="shared" si="39"/>
        <v>120</v>
      </c>
      <c r="M81" s="31">
        <v>44706</v>
      </c>
      <c r="N81" s="32" t="s">
        <v>3457</v>
      </c>
      <c r="O81" s="50"/>
      <c r="P81" s="50"/>
      <c r="Q81" s="26"/>
      <c r="R81" s="66" t="s">
        <v>3499</v>
      </c>
      <c r="S81" s="66" t="s">
        <v>48</v>
      </c>
      <c r="T81" s="66">
        <v>44679</v>
      </c>
      <c r="U81" s="73" t="s">
        <v>3500</v>
      </c>
      <c r="V81" s="31" t="s">
        <v>3417</v>
      </c>
      <c r="W81" s="69">
        <v>2.0414</v>
      </c>
      <c r="X81" s="68">
        <f t="shared" si="54"/>
        <v>4409.424</v>
      </c>
      <c r="Y81" s="26"/>
      <c r="Z81" s="26"/>
      <c r="AA81" s="26" t="s">
        <v>3434</v>
      </c>
      <c r="AB81" s="26"/>
      <c r="AC81" s="26"/>
      <c r="AD81" s="36" t="s">
        <v>55</v>
      </c>
      <c r="AE81" s="26"/>
      <c r="AF81" s="66"/>
      <c r="AG81" s="4">
        <f t="shared" si="51"/>
        <v>2160</v>
      </c>
      <c r="AM81" s="4">
        <f t="shared" si="52"/>
        <v>2160</v>
      </c>
      <c r="AN81" s="4">
        <f t="shared" si="53"/>
        <v>2160</v>
      </c>
      <c r="BA81" s="4">
        <f t="shared" si="56"/>
        <v>120</v>
      </c>
      <c r="BK81" s="83" t="e">
        <f>$AG81*#REF!</f>
        <v>#REF!</v>
      </c>
      <c r="BL81" s="83" t="e">
        <f>$AG81*#REF!</f>
        <v>#REF!</v>
      </c>
      <c r="BM81" s="83" t="e">
        <f>$AG81*#REF!</f>
        <v>#REF!</v>
      </c>
      <c r="BN81" s="83" t="e">
        <f>$AG81*#REF!</f>
        <v>#REF!</v>
      </c>
      <c r="BO81" s="83" t="e">
        <f>$AG81*#REF!</f>
        <v>#REF!</v>
      </c>
      <c r="BP81" s="83" t="e">
        <f>$AG81*#REF!</f>
        <v>#REF!</v>
      </c>
      <c r="BQ81" s="83" t="e">
        <f>$AG81*#REF!</f>
        <v>#REF!</v>
      </c>
      <c r="BR81" s="83" t="e">
        <f>$AG81*#REF!</f>
        <v>#REF!</v>
      </c>
      <c r="BS81" s="83" t="e">
        <f>$AG81*#REF!</f>
        <v>#REF!</v>
      </c>
      <c r="BT81" s="83" t="e">
        <f>$AG81*#REF!</f>
        <v>#REF!</v>
      </c>
      <c r="BU81" s="83" t="e">
        <f>$AG81*#REF!</f>
        <v>#REF!</v>
      </c>
      <c r="BV81" s="83" t="e">
        <f>$AG81*#REF!</f>
        <v>#REF!</v>
      </c>
      <c r="BW81" s="83" t="e">
        <f>$AG81*#REF!</f>
        <v>#REF!</v>
      </c>
      <c r="BX81" s="83" t="e">
        <f>$AG81*#REF!</f>
        <v>#REF!</v>
      </c>
      <c r="BY81" s="83" t="e">
        <f>$AG81*#REF!</f>
        <v>#REF!</v>
      </c>
      <c r="BZ81" s="83" t="e">
        <f>$AG81*#REF!</f>
        <v>#REF!</v>
      </c>
      <c r="CA81" s="83" t="e">
        <f>$AG81*#REF!</f>
        <v>#REF!</v>
      </c>
      <c r="CB81" s="83" t="e">
        <f>$AG81*#REF!</f>
        <v>#REF!</v>
      </c>
      <c r="CC81" s="83" t="e">
        <f>$AG81*#REF!</f>
        <v>#REF!</v>
      </c>
      <c r="CD81" s="83" t="e">
        <f>$AG81*#REF!</f>
        <v>#REF!</v>
      </c>
      <c r="CE81" s="83" t="e">
        <f>$AG81*#REF!</f>
        <v>#REF!</v>
      </c>
      <c r="CF81" s="83"/>
      <c r="CI81" s="4">
        <f t="shared" si="25"/>
        <v>0</v>
      </c>
      <c r="CL81" s="4">
        <f t="shared" si="29"/>
        <v>120</v>
      </c>
    </row>
    <row r="82" s="4" customFormat="1" ht="24" customHeight="1" spans="1:90">
      <c r="A82" s="24">
        <v>44666</v>
      </c>
      <c r="B82" s="25" t="s">
        <v>1186</v>
      </c>
      <c r="C82" s="26" t="s">
        <v>84</v>
      </c>
      <c r="D82" s="25">
        <v>4500076206</v>
      </c>
      <c r="E82" s="26">
        <v>4231913292</v>
      </c>
      <c r="F82" s="27" t="s">
        <v>3478</v>
      </c>
      <c r="G82" s="37"/>
      <c r="H82" s="38" t="s">
        <v>3479</v>
      </c>
      <c r="I82" s="26">
        <v>4</v>
      </c>
      <c r="J82" s="26">
        <v>0</v>
      </c>
      <c r="K82" s="26">
        <v>1</v>
      </c>
      <c r="L82" s="49">
        <f t="shared" si="39"/>
        <v>4</v>
      </c>
      <c r="M82" s="31">
        <v>44706</v>
      </c>
      <c r="N82" s="32" t="s">
        <v>3457</v>
      </c>
      <c r="O82" s="50"/>
      <c r="P82" s="50"/>
      <c r="Q82" s="26"/>
      <c r="R82" s="66" t="s">
        <v>3501</v>
      </c>
      <c r="S82" s="66" t="s">
        <v>48</v>
      </c>
      <c r="T82" s="66">
        <v>44679</v>
      </c>
      <c r="U82" s="73" t="s">
        <v>3502</v>
      </c>
      <c r="V82" s="31" t="s">
        <v>3417</v>
      </c>
      <c r="W82" s="69">
        <v>2183.9674</v>
      </c>
      <c r="X82" s="68">
        <f t="shared" si="54"/>
        <v>8735.8696</v>
      </c>
      <c r="Y82" s="26"/>
      <c r="Z82" s="26"/>
      <c r="AA82" s="26" t="s">
        <v>3434</v>
      </c>
      <c r="AB82" s="26"/>
      <c r="AC82" s="26"/>
      <c r="AD82" s="36"/>
      <c r="AE82" s="26"/>
      <c r="AF82" s="66"/>
      <c r="BK82" s="83" t="e">
        <f>$AG82*#REF!</f>
        <v>#REF!</v>
      </c>
      <c r="BL82" s="83" t="e">
        <f>$AG82*#REF!</f>
        <v>#REF!</v>
      </c>
      <c r="BM82" s="83" t="e">
        <f>$AG82*#REF!</f>
        <v>#REF!</v>
      </c>
      <c r="BN82" s="83" t="e">
        <f>$AG82*#REF!</f>
        <v>#REF!</v>
      </c>
      <c r="BO82" s="83" t="e">
        <f>$AG82*#REF!</f>
        <v>#REF!</v>
      </c>
      <c r="BP82" s="83" t="e">
        <f>$AG82*#REF!</f>
        <v>#REF!</v>
      </c>
      <c r="BQ82" s="83" t="e">
        <f>$AG82*#REF!</f>
        <v>#REF!</v>
      </c>
      <c r="BR82" s="83" t="e">
        <f>$AG82*#REF!</f>
        <v>#REF!</v>
      </c>
      <c r="BS82" s="83" t="e">
        <f>$AG82*#REF!</f>
        <v>#REF!</v>
      </c>
      <c r="BT82" s="83" t="e">
        <f>$AG82*#REF!</f>
        <v>#REF!</v>
      </c>
      <c r="BU82" s="83" t="e">
        <f>$AG82*#REF!</f>
        <v>#REF!</v>
      </c>
      <c r="BV82" s="83" t="e">
        <f>$AG82*#REF!</f>
        <v>#REF!</v>
      </c>
      <c r="BW82" s="83" t="e">
        <f>$AG82*#REF!</f>
        <v>#REF!</v>
      </c>
      <c r="BX82" s="83" t="e">
        <f>$AG82*#REF!</f>
        <v>#REF!</v>
      </c>
      <c r="BY82" s="83" t="e">
        <f>$AG82*#REF!</f>
        <v>#REF!</v>
      </c>
      <c r="BZ82" s="83" t="e">
        <f>$AG82*#REF!</f>
        <v>#REF!</v>
      </c>
      <c r="CA82" s="83" t="e">
        <f>$AG82*#REF!</f>
        <v>#REF!</v>
      </c>
      <c r="CB82" s="83" t="e">
        <f>$AG82*#REF!</f>
        <v>#REF!</v>
      </c>
      <c r="CC82" s="83" t="e">
        <f>$AG82*#REF!</f>
        <v>#REF!</v>
      </c>
      <c r="CD82" s="83" t="e">
        <f>$AG82*#REF!</f>
        <v>#REF!</v>
      </c>
      <c r="CE82" s="83" t="e">
        <f>$AG82*#REF!</f>
        <v>#REF!</v>
      </c>
      <c r="CF82" s="83"/>
      <c r="CI82" s="4">
        <f t="shared" si="25"/>
        <v>0</v>
      </c>
      <c r="CL82" s="4">
        <f t="shared" si="29"/>
        <v>0</v>
      </c>
    </row>
    <row r="83" s="4" customFormat="1" ht="24" customHeight="1" spans="1:90">
      <c r="A83" s="24">
        <v>44666</v>
      </c>
      <c r="B83" s="25" t="s">
        <v>1186</v>
      </c>
      <c r="C83" s="26" t="s">
        <v>84</v>
      </c>
      <c r="D83" s="25">
        <v>4500076206</v>
      </c>
      <c r="E83" s="26">
        <v>4231913292</v>
      </c>
      <c r="F83" s="27" t="s">
        <v>3462</v>
      </c>
      <c r="G83" s="37"/>
      <c r="H83" s="38" t="s">
        <v>3418</v>
      </c>
      <c r="I83" s="26">
        <v>4320</v>
      </c>
      <c r="J83" s="26">
        <v>0</v>
      </c>
      <c r="K83" s="26">
        <v>1080</v>
      </c>
      <c r="L83" s="49">
        <f t="shared" si="39"/>
        <v>4</v>
      </c>
      <c r="M83" s="31">
        <v>44706</v>
      </c>
      <c r="N83" s="32" t="s">
        <v>3457</v>
      </c>
      <c r="O83" s="50"/>
      <c r="P83" s="50"/>
      <c r="Q83" s="26"/>
      <c r="R83" s="66" t="s">
        <v>3501</v>
      </c>
      <c r="S83" s="66" t="s">
        <v>48</v>
      </c>
      <c r="T83" s="66">
        <v>44679</v>
      </c>
      <c r="U83" s="73"/>
      <c r="V83" s="31" t="s">
        <v>3417</v>
      </c>
      <c r="W83" s="69">
        <v>0</v>
      </c>
      <c r="X83" s="68">
        <v>0</v>
      </c>
      <c r="Y83" s="26"/>
      <c r="Z83" s="26"/>
      <c r="AA83" s="26" t="s">
        <v>3434</v>
      </c>
      <c r="AB83" s="26"/>
      <c r="AC83" s="26"/>
      <c r="AD83" s="36"/>
      <c r="AE83" s="26"/>
      <c r="AF83" s="66"/>
      <c r="AG83" s="4">
        <f t="shared" ref="AG83:AG87" si="57">I83</f>
        <v>4320</v>
      </c>
      <c r="AM83" s="4">
        <f t="shared" ref="AM83:AM87" si="58">I83</f>
        <v>4320</v>
      </c>
      <c r="AN83" s="4">
        <f t="shared" ref="AN83:AN87" si="59">I83</f>
        <v>4320</v>
      </c>
      <c r="BA83" s="4">
        <f t="shared" ref="BA83:BA87" si="60">I83/18</f>
        <v>240</v>
      </c>
      <c r="BK83" s="83" t="e">
        <f>$AG83*#REF!</f>
        <v>#REF!</v>
      </c>
      <c r="BL83" s="83" t="e">
        <f>$AG83*#REF!</f>
        <v>#REF!</v>
      </c>
      <c r="BM83" s="83" t="e">
        <f>$AG83*#REF!</f>
        <v>#REF!</v>
      </c>
      <c r="BN83" s="83" t="e">
        <f>$AG83*#REF!</f>
        <v>#REF!</v>
      </c>
      <c r="BO83" s="83" t="e">
        <f>$AG83*#REF!</f>
        <v>#REF!</v>
      </c>
      <c r="BP83" s="83" t="e">
        <f>$AG83*#REF!</f>
        <v>#REF!</v>
      </c>
      <c r="BQ83" s="83" t="e">
        <f>$AG83*#REF!</f>
        <v>#REF!</v>
      </c>
      <c r="BR83" s="83" t="e">
        <f>$AG83*#REF!</f>
        <v>#REF!</v>
      </c>
      <c r="BS83" s="83" t="e">
        <f>$AG83*#REF!</f>
        <v>#REF!</v>
      </c>
      <c r="BT83" s="83" t="e">
        <f>$AG83*#REF!</f>
        <v>#REF!</v>
      </c>
      <c r="BU83" s="83" t="e">
        <f>$AG83*#REF!</f>
        <v>#REF!</v>
      </c>
      <c r="BV83" s="83" t="e">
        <f>$AG83*#REF!</f>
        <v>#REF!</v>
      </c>
      <c r="BW83" s="83" t="e">
        <f>$AG83*#REF!</f>
        <v>#REF!</v>
      </c>
      <c r="BX83" s="83" t="e">
        <f>$AG83*#REF!</f>
        <v>#REF!</v>
      </c>
      <c r="BY83" s="83" t="e">
        <f>$AG83*#REF!</f>
        <v>#REF!</v>
      </c>
      <c r="BZ83" s="83" t="e">
        <f>$AG83*#REF!</f>
        <v>#REF!</v>
      </c>
      <c r="CA83" s="83" t="e">
        <f>$AG83*#REF!</f>
        <v>#REF!</v>
      </c>
      <c r="CB83" s="83" t="e">
        <f>$AG83*#REF!</f>
        <v>#REF!</v>
      </c>
      <c r="CC83" s="83" t="e">
        <f>$AG83*#REF!</f>
        <v>#REF!</v>
      </c>
      <c r="CD83" s="83" t="e">
        <f>$AG83*#REF!</f>
        <v>#REF!</v>
      </c>
      <c r="CE83" s="83" t="e">
        <f>$AG83*#REF!</f>
        <v>#REF!</v>
      </c>
      <c r="CF83" s="83"/>
      <c r="CI83" s="4">
        <f t="shared" si="25"/>
        <v>0</v>
      </c>
      <c r="CL83" s="4">
        <f t="shared" si="29"/>
        <v>240</v>
      </c>
    </row>
    <row r="84" s="4" customFormat="1" ht="24" customHeight="1" spans="1:90">
      <c r="A84" s="24">
        <v>44666</v>
      </c>
      <c r="B84" s="25" t="s">
        <v>1186</v>
      </c>
      <c r="C84" s="26" t="s">
        <v>84</v>
      </c>
      <c r="D84" s="25">
        <v>4500076206</v>
      </c>
      <c r="E84" s="26">
        <v>4231913293</v>
      </c>
      <c r="F84" s="27" t="s">
        <v>3478</v>
      </c>
      <c r="G84" s="37"/>
      <c r="H84" s="38" t="s">
        <v>3479</v>
      </c>
      <c r="I84" s="26">
        <v>3</v>
      </c>
      <c r="J84" s="26">
        <v>0</v>
      </c>
      <c r="K84" s="26">
        <v>1</v>
      </c>
      <c r="L84" s="49">
        <f t="shared" si="39"/>
        <v>3</v>
      </c>
      <c r="M84" s="31">
        <v>44706</v>
      </c>
      <c r="N84" s="32" t="s">
        <v>3457</v>
      </c>
      <c r="O84" s="50"/>
      <c r="P84" s="50"/>
      <c r="Q84" s="26"/>
      <c r="R84" s="66" t="s">
        <v>3501</v>
      </c>
      <c r="S84" s="66" t="s">
        <v>48</v>
      </c>
      <c r="T84" s="66">
        <v>44679</v>
      </c>
      <c r="U84" s="73" t="s">
        <v>3502</v>
      </c>
      <c r="V84" s="31" t="s">
        <v>3417</v>
      </c>
      <c r="W84" s="69">
        <v>2183.9674</v>
      </c>
      <c r="X84" s="68">
        <f t="shared" ref="X84:X88" si="61">I84*W84</f>
        <v>6551.9022</v>
      </c>
      <c r="Y84" s="26"/>
      <c r="Z84" s="26"/>
      <c r="AA84" s="26" t="s">
        <v>3434</v>
      </c>
      <c r="AB84" s="26"/>
      <c r="AC84" s="26"/>
      <c r="AD84" s="36"/>
      <c r="AE84" s="26"/>
      <c r="AF84" s="66"/>
      <c r="BK84" s="83" t="e">
        <f>$AG84*#REF!</f>
        <v>#REF!</v>
      </c>
      <c r="BL84" s="83" t="e">
        <f>$AG84*#REF!</f>
        <v>#REF!</v>
      </c>
      <c r="BM84" s="83" t="e">
        <f>$AG84*#REF!</f>
        <v>#REF!</v>
      </c>
      <c r="BN84" s="83" t="e">
        <f>$AG84*#REF!</f>
        <v>#REF!</v>
      </c>
      <c r="BO84" s="83" t="e">
        <f>$AG84*#REF!</f>
        <v>#REF!</v>
      </c>
      <c r="BP84" s="83" t="e">
        <f>$AG84*#REF!</f>
        <v>#REF!</v>
      </c>
      <c r="BQ84" s="83" t="e">
        <f>$AG84*#REF!</f>
        <v>#REF!</v>
      </c>
      <c r="BR84" s="83" t="e">
        <f>$AG84*#REF!</f>
        <v>#REF!</v>
      </c>
      <c r="BS84" s="83" t="e">
        <f>$AG84*#REF!</f>
        <v>#REF!</v>
      </c>
      <c r="BT84" s="83" t="e">
        <f>$AG84*#REF!</f>
        <v>#REF!</v>
      </c>
      <c r="BU84" s="83" t="e">
        <f>$AG84*#REF!</f>
        <v>#REF!</v>
      </c>
      <c r="BV84" s="83" t="e">
        <f>$AG84*#REF!</f>
        <v>#REF!</v>
      </c>
      <c r="BW84" s="83" t="e">
        <f>$AG84*#REF!</f>
        <v>#REF!</v>
      </c>
      <c r="BX84" s="83" t="e">
        <f>$AG84*#REF!</f>
        <v>#REF!</v>
      </c>
      <c r="BY84" s="83" t="e">
        <f>$AG84*#REF!</f>
        <v>#REF!</v>
      </c>
      <c r="BZ84" s="83" t="e">
        <f>$AG84*#REF!</f>
        <v>#REF!</v>
      </c>
      <c r="CA84" s="83" t="e">
        <f>$AG84*#REF!</f>
        <v>#REF!</v>
      </c>
      <c r="CB84" s="83" t="e">
        <f>$AG84*#REF!</f>
        <v>#REF!</v>
      </c>
      <c r="CC84" s="83" t="e">
        <f>$AG84*#REF!</f>
        <v>#REF!</v>
      </c>
      <c r="CD84" s="83" t="e">
        <f>$AG84*#REF!</f>
        <v>#REF!</v>
      </c>
      <c r="CE84" s="83" t="e">
        <f>$AG84*#REF!</f>
        <v>#REF!</v>
      </c>
      <c r="CF84" s="83"/>
      <c r="CI84" s="4">
        <f t="shared" si="25"/>
        <v>0</v>
      </c>
      <c r="CL84" s="4">
        <f t="shared" si="29"/>
        <v>0</v>
      </c>
    </row>
    <row r="85" s="4" customFormat="1" ht="24" customHeight="1" spans="1:90">
      <c r="A85" s="24">
        <v>44666</v>
      </c>
      <c r="B85" s="25" t="s">
        <v>1186</v>
      </c>
      <c r="C85" s="26" t="s">
        <v>84</v>
      </c>
      <c r="D85" s="25">
        <v>4500076206</v>
      </c>
      <c r="E85" s="26">
        <v>4231913293</v>
      </c>
      <c r="F85" s="27" t="s">
        <v>3462</v>
      </c>
      <c r="G85" s="37"/>
      <c r="H85" s="38" t="s">
        <v>3418</v>
      </c>
      <c r="I85" s="26">
        <v>3240</v>
      </c>
      <c r="J85" s="26">
        <v>0</v>
      </c>
      <c r="K85" s="26">
        <v>1080</v>
      </c>
      <c r="L85" s="49">
        <f t="shared" si="39"/>
        <v>3</v>
      </c>
      <c r="M85" s="31">
        <v>44706</v>
      </c>
      <c r="N85" s="32" t="s">
        <v>3457</v>
      </c>
      <c r="O85" s="50"/>
      <c r="P85" s="50"/>
      <c r="Q85" s="26"/>
      <c r="R85" s="66" t="s">
        <v>3501</v>
      </c>
      <c r="S85" s="66" t="s">
        <v>48</v>
      </c>
      <c r="T85" s="66">
        <v>44679</v>
      </c>
      <c r="U85" s="73"/>
      <c r="V85" s="31" t="s">
        <v>3417</v>
      </c>
      <c r="W85" s="69">
        <v>0</v>
      </c>
      <c r="X85" s="68">
        <v>0</v>
      </c>
      <c r="Y85" s="26"/>
      <c r="Z85" s="26"/>
      <c r="AA85" s="26" t="s">
        <v>3434</v>
      </c>
      <c r="AB85" s="26"/>
      <c r="AC85" s="26"/>
      <c r="AD85" s="36"/>
      <c r="AE85" s="26"/>
      <c r="AF85" s="66"/>
      <c r="AG85" s="4">
        <f t="shared" si="57"/>
        <v>3240</v>
      </c>
      <c r="AM85" s="4">
        <f t="shared" si="58"/>
        <v>3240</v>
      </c>
      <c r="AN85" s="4">
        <f t="shared" si="59"/>
        <v>3240</v>
      </c>
      <c r="BA85" s="4">
        <f t="shared" si="60"/>
        <v>180</v>
      </c>
      <c r="BK85" s="83" t="e">
        <f>$AG85*#REF!</f>
        <v>#REF!</v>
      </c>
      <c r="BL85" s="83" t="e">
        <f>$AG85*#REF!</f>
        <v>#REF!</v>
      </c>
      <c r="BM85" s="83" t="e">
        <f>$AG85*#REF!</f>
        <v>#REF!</v>
      </c>
      <c r="BN85" s="83" t="e">
        <f>$AG85*#REF!</f>
        <v>#REF!</v>
      </c>
      <c r="BO85" s="83" t="e">
        <f>$AG85*#REF!</f>
        <v>#REF!</v>
      </c>
      <c r="BP85" s="83" t="e">
        <f>$AG85*#REF!</f>
        <v>#REF!</v>
      </c>
      <c r="BQ85" s="83" t="e">
        <f>$AG85*#REF!</f>
        <v>#REF!</v>
      </c>
      <c r="BR85" s="83" t="e">
        <f>$AG85*#REF!</f>
        <v>#REF!</v>
      </c>
      <c r="BS85" s="83" t="e">
        <f>$AG85*#REF!</f>
        <v>#REF!</v>
      </c>
      <c r="BT85" s="83" t="e">
        <f>$AG85*#REF!</f>
        <v>#REF!</v>
      </c>
      <c r="BU85" s="83" t="e">
        <f>$AG85*#REF!</f>
        <v>#REF!</v>
      </c>
      <c r="BV85" s="83" t="e">
        <f>$AG85*#REF!</f>
        <v>#REF!</v>
      </c>
      <c r="BW85" s="83" t="e">
        <f>$AG85*#REF!</f>
        <v>#REF!</v>
      </c>
      <c r="BX85" s="83" t="e">
        <f>$AG85*#REF!</f>
        <v>#REF!</v>
      </c>
      <c r="BY85" s="83" t="e">
        <f>$AG85*#REF!</f>
        <v>#REF!</v>
      </c>
      <c r="BZ85" s="83" t="e">
        <f>$AG85*#REF!</f>
        <v>#REF!</v>
      </c>
      <c r="CA85" s="83" t="e">
        <f>$AG85*#REF!</f>
        <v>#REF!</v>
      </c>
      <c r="CB85" s="83" t="e">
        <f>$AG85*#REF!</f>
        <v>#REF!</v>
      </c>
      <c r="CC85" s="83" t="e">
        <f>$AG85*#REF!</f>
        <v>#REF!</v>
      </c>
      <c r="CD85" s="83" t="e">
        <f>$AG85*#REF!</f>
        <v>#REF!</v>
      </c>
      <c r="CE85" s="83" t="e">
        <f>$AG85*#REF!</f>
        <v>#REF!</v>
      </c>
      <c r="CF85" s="83"/>
      <c r="CI85" s="4">
        <f t="shared" si="25"/>
        <v>0</v>
      </c>
      <c r="CL85" s="4">
        <f t="shared" si="29"/>
        <v>180</v>
      </c>
    </row>
    <row r="86" s="4" customFormat="1" ht="24" customHeight="1" spans="1:90">
      <c r="A86" s="24">
        <v>44666</v>
      </c>
      <c r="B86" s="25" t="s">
        <v>1186</v>
      </c>
      <c r="C86" s="26" t="s">
        <v>84</v>
      </c>
      <c r="D86" s="25">
        <v>4500076206</v>
      </c>
      <c r="E86" s="26">
        <v>4231913294</v>
      </c>
      <c r="F86" s="27" t="s">
        <v>3478</v>
      </c>
      <c r="G86" s="37"/>
      <c r="H86" s="38" t="s">
        <v>3479</v>
      </c>
      <c r="I86" s="26">
        <v>3</v>
      </c>
      <c r="J86" s="26">
        <v>0</v>
      </c>
      <c r="K86" s="26">
        <v>1</v>
      </c>
      <c r="L86" s="49">
        <f t="shared" si="39"/>
        <v>3</v>
      </c>
      <c r="M86" s="31">
        <v>44706</v>
      </c>
      <c r="N86" s="32" t="s">
        <v>3457</v>
      </c>
      <c r="O86" s="50"/>
      <c r="P86" s="50"/>
      <c r="Q86" s="26"/>
      <c r="R86" s="66" t="s">
        <v>3501</v>
      </c>
      <c r="S86" s="66" t="s">
        <v>48</v>
      </c>
      <c r="T86" s="66">
        <v>44679</v>
      </c>
      <c r="U86" s="73" t="s">
        <v>3502</v>
      </c>
      <c r="V86" s="31" t="s">
        <v>3417</v>
      </c>
      <c r="W86" s="69">
        <v>2183.9674</v>
      </c>
      <c r="X86" s="68">
        <f t="shared" si="61"/>
        <v>6551.9022</v>
      </c>
      <c r="Y86" s="26"/>
      <c r="Z86" s="26"/>
      <c r="AA86" s="26" t="s">
        <v>3434</v>
      </c>
      <c r="AB86" s="26"/>
      <c r="AC86" s="26"/>
      <c r="AD86" s="36"/>
      <c r="AE86" s="26"/>
      <c r="AF86" s="66"/>
      <c r="AM86" s="4">
        <f t="shared" si="58"/>
        <v>3</v>
      </c>
      <c r="AN86" s="4">
        <f t="shared" si="59"/>
        <v>3</v>
      </c>
      <c r="BK86" s="83" t="e">
        <f>$AG86*#REF!</f>
        <v>#REF!</v>
      </c>
      <c r="BL86" s="83" t="e">
        <f>$AG86*#REF!</f>
        <v>#REF!</v>
      </c>
      <c r="BM86" s="83" t="e">
        <f>$AG86*#REF!</f>
        <v>#REF!</v>
      </c>
      <c r="BN86" s="83" t="e">
        <f>$AG86*#REF!</f>
        <v>#REF!</v>
      </c>
      <c r="BO86" s="83" t="e">
        <f>$AG86*#REF!</f>
        <v>#REF!</v>
      </c>
      <c r="BP86" s="83" t="e">
        <f>$AG86*#REF!</f>
        <v>#REF!</v>
      </c>
      <c r="BQ86" s="83" t="e">
        <f>$AG86*#REF!</f>
        <v>#REF!</v>
      </c>
      <c r="BR86" s="83" t="e">
        <f>$AG86*#REF!</f>
        <v>#REF!</v>
      </c>
      <c r="BS86" s="83" t="e">
        <f>$AG86*#REF!</f>
        <v>#REF!</v>
      </c>
      <c r="BT86" s="83" t="e">
        <f>$AG86*#REF!</f>
        <v>#REF!</v>
      </c>
      <c r="BU86" s="83" t="e">
        <f>$AG86*#REF!</f>
        <v>#REF!</v>
      </c>
      <c r="BV86" s="83" t="e">
        <f>$AG86*#REF!</f>
        <v>#REF!</v>
      </c>
      <c r="BW86" s="83" t="e">
        <f>$AG86*#REF!</f>
        <v>#REF!</v>
      </c>
      <c r="BX86" s="83" t="e">
        <f>$AG86*#REF!</f>
        <v>#REF!</v>
      </c>
      <c r="BY86" s="83" t="e">
        <f>$AG86*#REF!</f>
        <v>#REF!</v>
      </c>
      <c r="BZ86" s="83" t="e">
        <f>$AG86*#REF!</f>
        <v>#REF!</v>
      </c>
      <c r="CA86" s="83" t="e">
        <f>$AG86*#REF!</f>
        <v>#REF!</v>
      </c>
      <c r="CB86" s="83" t="e">
        <f>$AG86*#REF!</f>
        <v>#REF!</v>
      </c>
      <c r="CC86" s="83" t="e">
        <f>$AG86*#REF!</f>
        <v>#REF!</v>
      </c>
      <c r="CD86" s="83" t="e">
        <f>$AG86*#REF!</f>
        <v>#REF!</v>
      </c>
      <c r="CE86" s="83" t="e">
        <f>$AG86*#REF!</f>
        <v>#REF!</v>
      </c>
      <c r="CF86" s="83"/>
      <c r="CI86" s="4">
        <f t="shared" si="25"/>
        <v>0</v>
      </c>
      <c r="CL86" s="4">
        <f t="shared" si="29"/>
        <v>0</v>
      </c>
    </row>
    <row r="87" s="4" customFormat="1" ht="24" customHeight="1" spans="1:90">
      <c r="A87" s="24">
        <v>44666</v>
      </c>
      <c r="B87" s="25" t="s">
        <v>1186</v>
      </c>
      <c r="C87" s="26" t="s">
        <v>84</v>
      </c>
      <c r="D87" s="25">
        <v>4500076206</v>
      </c>
      <c r="E87" s="26">
        <v>4231913294</v>
      </c>
      <c r="F87" s="27" t="s">
        <v>3462</v>
      </c>
      <c r="G87" s="37"/>
      <c r="H87" s="38" t="s">
        <v>3418</v>
      </c>
      <c r="I87" s="26">
        <v>3240</v>
      </c>
      <c r="J87" s="26">
        <v>0</v>
      </c>
      <c r="K87" s="26">
        <v>1080</v>
      </c>
      <c r="L87" s="49">
        <f t="shared" si="39"/>
        <v>3</v>
      </c>
      <c r="M87" s="31">
        <v>44706</v>
      </c>
      <c r="N87" s="32" t="s">
        <v>3457</v>
      </c>
      <c r="O87" s="50"/>
      <c r="P87" s="50"/>
      <c r="Q87" s="26"/>
      <c r="R87" s="66" t="s">
        <v>3501</v>
      </c>
      <c r="S87" s="66" t="s">
        <v>48</v>
      </c>
      <c r="T87" s="66">
        <v>44679</v>
      </c>
      <c r="U87" s="73"/>
      <c r="V87" s="31" t="s">
        <v>3417</v>
      </c>
      <c r="W87" s="69">
        <v>0</v>
      </c>
      <c r="X87" s="68">
        <v>0</v>
      </c>
      <c r="Y87" s="26"/>
      <c r="Z87" s="26"/>
      <c r="AA87" s="26" t="s">
        <v>3434</v>
      </c>
      <c r="AB87" s="26"/>
      <c r="AC87" s="26"/>
      <c r="AD87" s="36"/>
      <c r="AE87" s="26"/>
      <c r="AF87" s="66"/>
      <c r="AG87" s="4">
        <f t="shared" si="57"/>
        <v>3240</v>
      </c>
      <c r="AM87" s="4">
        <f t="shared" si="58"/>
        <v>3240</v>
      </c>
      <c r="AN87" s="4">
        <f t="shared" si="59"/>
        <v>3240</v>
      </c>
      <c r="BA87" s="4">
        <f t="shared" si="60"/>
        <v>180</v>
      </c>
      <c r="BK87" s="83" t="e">
        <f>$AG87*#REF!</f>
        <v>#REF!</v>
      </c>
      <c r="BL87" s="83" t="e">
        <f>$AG87*#REF!</f>
        <v>#REF!</v>
      </c>
      <c r="BM87" s="83" t="e">
        <f>$AG87*#REF!</f>
        <v>#REF!</v>
      </c>
      <c r="BN87" s="83" t="e">
        <f>$AG87*#REF!</f>
        <v>#REF!</v>
      </c>
      <c r="BO87" s="83" t="e">
        <f>$AG87*#REF!</f>
        <v>#REF!</v>
      </c>
      <c r="BP87" s="83" t="e">
        <f>$AG87*#REF!</f>
        <v>#REF!</v>
      </c>
      <c r="BQ87" s="83" t="e">
        <f>$AG87*#REF!</f>
        <v>#REF!</v>
      </c>
      <c r="BR87" s="83" t="e">
        <f>$AG87*#REF!</f>
        <v>#REF!</v>
      </c>
      <c r="BS87" s="83" t="e">
        <f>$AG87*#REF!</f>
        <v>#REF!</v>
      </c>
      <c r="BT87" s="83" t="e">
        <f>$AG87*#REF!</f>
        <v>#REF!</v>
      </c>
      <c r="BU87" s="83" t="e">
        <f>$AG87*#REF!</f>
        <v>#REF!</v>
      </c>
      <c r="BV87" s="83" t="e">
        <f>$AG87*#REF!</f>
        <v>#REF!</v>
      </c>
      <c r="BW87" s="83" t="e">
        <f>$AG87*#REF!</f>
        <v>#REF!</v>
      </c>
      <c r="BX87" s="83" t="e">
        <f>$AG87*#REF!</f>
        <v>#REF!</v>
      </c>
      <c r="BY87" s="83" t="e">
        <f>$AG87*#REF!</f>
        <v>#REF!</v>
      </c>
      <c r="BZ87" s="83" t="e">
        <f>$AG87*#REF!</f>
        <v>#REF!</v>
      </c>
      <c r="CA87" s="83" t="e">
        <f>$AG87*#REF!</f>
        <v>#REF!</v>
      </c>
      <c r="CB87" s="83" t="e">
        <f>$AG87*#REF!</f>
        <v>#REF!</v>
      </c>
      <c r="CC87" s="83" t="e">
        <f>$AG87*#REF!</f>
        <v>#REF!</v>
      </c>
      <c r="CD87" s="83" t="e">
        <f>$AG87*#REF!</f>
        <v>#REF!</v>
      </c>
      <c r="CE87" s="83" t="e">
        <f>$AG87*#REF!</f>
        <v>#REF!</v>
      </c>
      <c r="CF87" s="83"/>
      <c r="CI87" s="4">
        <f t="shared" si="25"/>
        <v>0</v>
      </c>
      <c r="CL87" s="4">
        <f t="shared" si="29"/>
        <v>180</v>
      </c>
    </row>
    <row r="88" s="4" customFormat="1" ht="24" customHeight="1" spans="1:90">
      <c r="A88" s="24">
        <v>44666</v>
      </c>
      <c r="B88" s="25" t="s">
        <v>1186</v>
      </c>
      <c r="C88" s="26" t="s">
        <v>84</v>
      </c>
      <c r="D88" s="25">
        <v>4500076206</v>
      </c>
      <c r="E88" s="26">
        <v>4231913295</v>
      </c>
      <c r="F88" s="27" t="s">
        <v>3478</v>
      </c>
      <c r="G88" s="37"/>
      <c r="H88" s="38" t="s">
        <v>3479</v>
      </c>
      <c r="I88" s="26">
        <v>4</v>
      </c>
      <c r="J88" s="26">
        <v>0</v>
      </c>
      <c r="K88" s="26">
        <v>1</v>
      </c>
      <c r="L88" s="49">
        <f t="shared" si="39"/>
        <v>4</v>
      </c>
      <c r="M88" s="31">
        <v>44706</v>
      </c>
      <c r="N88" s="32" t="s">
        <v>3457</v>
      </c>
      <c r="O88" s="50"/>
      <c r="P88" s="50"/>
      <c r="Q88" s="26"/>
      <c r="R88" s="66" t="s">
        <v>3501</v>
      </c>
      <c r="S88" s="66" t="s">
        <v>48</v>
      </c>
      <c r="T88" s="66">
        <v>44679</v>
      </c>
      <c r="U88" s="73" t="s">
        <v>3502</v>
      </c>
      <c r="V88" s="31" t="s">
        <v>3417</v>
      </c>
      <c r="W88" s="69">
        <v>2183.9674</v>
      </c>
      <c r="X88" s="68">
        <f t="shared" si="61"/>
        <v>8735.8696</v>
      </c>
      <c r="Y88" s="26"/>
      <c r="Z88" s="26"/>
      <c r="AA88" s="26" t="s">
        <v>3434</v>
      </c>
      <c r="AB88" s="26"/>
      <c r="AC88" s="26"/>
      <c r="AD88" s="36"/>
      <c r="AE88" s="26"/>
      <c r="AF88" s="66"/>
      <c r="BK88" s="83" t="e">
        <f>$AG88*#REF!</f>
        <v>#REF!</v>
      </c>
      <c r="BL88" s="83" t="e">
        <f>$AG88*#REF!</f>
        <v>#REF!</v>
      </c>
      <c r="BM88" s="83" t="e">
        <f>$AG88*#REF!</f>
        <v>#REF!</v>
      </c>
      <c r="BN88" s="83" t="e">
        <f>$AG88*#REF!</f>
        <v>#REF!</v>
      </c>
      <c r="BO88" s="83" t="e">
        <f>$AG88*#REF!</f>
        <v>#REF!</v>
      </c>
      <c r="BP88" s="83" t="e">
        <f>$AG88*#REF!</f>
        <v>#REF!</v>
      </c>
      <c r="BQ88" s="83" t="e">
        <f>$AG88*#REF!</f>
        <v>#REF!</v>
      </c>
      <c r="BR88" s="83" t="e">
        <f>$AG88*#REF!</f>
        <v>#REF!</v>
      </c>
      <c r="BS88" s="83" t="e">
        <f>$AG88*#REF!</f>
        <v>#REF!</v>
      </c>
      <c r="BT88" s="83" t="e">
        <f>$AG88*#REF!</f>
        <v>#REF!</v>
      </c>
      <c r="BU88" s="83" t="e">
        <f>$AG88*#REF!</f>
        <v>#REF!</v>
      </c>
      <c r="BV88" s="83" t="e">
        <f>$AG88*#REF!</f>
        <v>#REF!</v>
      </c>
      <c r="BW88" s="83" t="e">
        <f>$AG88*#REF!</f>
        <v>#REF!</v>
      </c>
      <c r="BX88" s="83" t="e">
        <f>$AG88*#REF!</f>
        <v>#REF!</v>
      </c>
      <c r="BY88" s="83" t="e">
        <f>$AG88*#REF!</f>
        <v>#REF!</v>
      </c>
      <c r="BZ88" s="83" t="e">
        <f>$AG88*#REF!</f>
        <v>#REF!</v>
      </c>
      <c r="CA88" s="83" t="e">
        <f>$AG88*#REF!</f>
        <v>#REF!</v>
      </c>
      <c r="CB88" s="83" t="e">
        <f>$AG88*#REF!</f>
        <v>#REF!</v>
      </c>
      <c r="CC88" s="83" t="e">
        <f>$AG88*#REF!</f>
        <v>#REF!</v>
      </c>
      <c r="CD88" s="83" t="e">
        <f>$AG88*#REF!</f>
        <v>#REF!</v>
      </c>
      <c r="CE88" s="83" t="e">
        <f>$AG88*#REF!</f>
        <v>#REF!</v>
      </c>
      <c r="CF88" s="83"/>
      <c r="CI88" s="4">
        <f t="shared" si="25"/>
        <v>0</v>
      </c>
      <c r="CL88" s="4">
        <f t="shared" si="29"/>
        <v>0</v>
      </c>
    </row>
    <row r="89" s="4" customFormat="1" ht="24" customHeight="1" spans="1:90">
      <c r="A89" s="24">
        <v>44666</v>
      </c>
      <c r="B89" s="25" t="s">
        <v>1186</v>
      </c>
      <c r="C89" s="26" t="s">
        <v>84</v>
      </c>
      <c r="D89" s="25">
        <v>4500076206</v>
      </c>
      <c r="E89" s="26">
        <v>4231913295</v>
      </c>
      <c r="F89" s="27" t="s">
        <v>3462</v>
      </c>
      <c r="G89" s="37"/>
      <c r="H89" s="38" t="s">
        <v>3418</v>
      </c>
      <c r="I89" s="26">
        <v>4320</v>
      </c>
      <c r="J89" s="26">
        <v>0</v>
      </c>
      <c r="K89" s="26">
        <v>1080</v>
      </c>
      <c r="L89" s="49">
        <f t="shared" si="39"/>
        <v>4</v>
      </c>
      <c r="M89" s="31">
        <v>44706</v>
      </c>
      <c r="N89" s="32" t="s">
        <v>3457</v>
      </c>
      <c r="O89" s="50"/>
      <c r="P89" s="50"/>
      <c r="Q89" s="26"/>
      <c r="R89" s="66" t="s">
        <v>3501</v>
      </c>
      <c r="S89" s="66" t="s">
        <v>48</v>
      </c>
      <c r="T89" s="66">
        <v>44679</v>
      </c>
      <c r="U89" s="73"/>
      <c r="V89" s="31" t="s">
        <v>3417</v>
      </c>
      <c r="W89" s="69">
        <v>0</v>
      </c>
      <c r="X89" s="68">
        <v>0</v>
      </c>
      <c r="Y89" s="26"/>
      <c r="Z89" s="26"/>
      <c r="AA89" s="26" t="s">
        <v>3434</v>
      </c>
      <c r="AB89" s="26"/>
      <c r="AC89" s="26"/>
      <c r="AD89" s="36"/>
      <c r="AE89" s="26"/>
      <c r="AF89" s="66"/>
      <c r="AG89" s="4">
        <f t="shared" ref="AG89:AG93" si="62">I89</f>
        <v>4320</v>
      </c>
      <c r="AM89" s="4">
        <f t="shared" ref="AM89:AM93" si="63">I89</f>
        <v>4320</v>
      </c>
      <c r="AN89" s="4">
        <f t="shared" ref="AN89:AN93" si="64">I89</f>
        <v>4320</v>
      </c>
      <c r="BA89" s="4">
        <f t="shared" ref="BA89:BA93" si="65">I89/18</f>
        <v>240</v>
      </c>
      <c r="BK89" s="83" t="e">
        <f>$AG89*#REF!</f>
        <v>#REF!</v>
      </c>
      <c r="BL89" s="83" t="e">
        <f>$AG89*#REF!</f>
        <v>#REF!</v>
      </c>
      <c r="BM89" s="83" t="e">
        <f>$AG89*#REF!</f>
        <v>#REF!</v>
      </c>
      <c r="BN89" s="83" t="e">
        <f>$AG89*#REF!</f>
        <v>#REF!</v>
      </c>
      <c r="BO89" s="83" t="e">
        <f>$AG89*#REF!</f>
        <v>#REF!</v>
      </c>
      <c r="BP89" s="83" t="e">
        <f>$AG89*#REF!</f>
        <v>#REF!</v>
      </c>
      <c r="BQ89" s="83" t="e">
        <f>$AG89*#REF!</f>
        <v>#REF!</v>
      </c>
      <c r="BR89" s="83" t="e">
        <f>$AG89*#REF!</f>
        <v>#REF!</v>
      </c>
      <c r="BS89" s="83" t="e">
        <f>$AG89*#REF!</f>
        <v>#REF!</v>
      </c>
      <c r="BT89" s="83" t="e">
        <f>$AG89*#REF!</f>
        <v>#REF!</v>
      </c>
      <c r="BU89" s="83" t="e">
        <f>$AG89*#REF!</f>
        <v>#REF!</v>
      </c>
      <c r="BV89" s="83" t="e">
        <f>$AG89*#REF!</f>
        <v>#REF!</v>
      </c>
      <c r="BW89" s="83" t="e">
        <f>$AG89*#REF!</f>
        <v>#REF!</v>
      </c>
      <c r="BX89" s="83" t="e">
        <f>$AG89*#REF!</f>
        <v>#REF!</v>
      </c>
      <c r="BY89" s="83" t="e">
        <f>$AG89*#REF!</f>
        <v>#REF!</v>
      </c>
      <c r="BZ89" s="83" t="e">
        <f>$AG89*#REF!</f>
        <v>#REF!</v>
      </c>
      <c r="CA89" s="83" t="e">
        <f>$AG89*#REF!</f>
        <v>#REF!</v>
      </c>
      <c r="CB89" s="83" t="e">
        <f>$AG89*#REF!</f>
        <v>#REF!</v>
      </c>
      <c r="CC89" s="83" t="e">
        <f>$AG89*#REF!</f>
        <v>#REF!</v>
      </c>
      <c r="CD89" s="83" t="e">
        <f>$AG89*#REF!</f>
        <v>#REF!</v>
      </c>
      <c r="CE89" s="83" t="e">
        <f>$AG89*#REF!</f>
        <v>#REF!</v>
      </c>
      <c r="CF89" s="83"/>
      <c r="CI89" s="4">
        <f t="shared" si="25"/>
        <v>0</v>
      </c>
      <c r="CL89" s="4">
        <f t="shared" si="29"/>
        <v>240</v>
      </c>
    </row>
    <row r="90" s="4" customFormat="1" ht="24" customHeight="1" spans="1:90">
      <c r="A90" s="24">
        <v>44666</v>
      </c>
      <c r="B90" s="25" t="s">
        <v>1186</v>
      </c>
      <c r="C90" s="26" t="s">
        <v>84</v>
      </c>
      <c r="D90" s="25">
        <v>4500076206</v>
      </c>
      <c r="E90" s="26">
        <v>4231913296</v>
      </c>
      <c r="F90" s="27" t="s">
        <v>3478</v>
      </c>
      <c r="G90" s="37"/>
      <c r="H90" s="38" t="s">
        <v>3479</v>
      </c>
      <c r="I90" s="26">
        <v>3</v>
      </c>
      <c r="J90" s="26">
        <v>0</v>
      </c>
      <c r="K90" s="26">
        <v>1</v>
      </c>
      <c r="L90" s="49">
        <f t="shared" si="39"/>
        <v>3</v>
      </c>
      <c r="M90" s="31">
        <v>44706</v>
      </c>
      <c r="N90" s="32" t="s">
        <v>3457</v>
      </c>
      <c r="O90" s="50"/>
      <c r="P90" s="50"/>
      <c r="Q90" s="26"/>
      <c r="R90" s="66" t="s">
        <v>3501</v>
      </c>
      <c r="S90" s="66" t="s">
        <v>48</v>
      </c>
      <c r="T90" s="66">
        <v>44679</v>
      </c>
      <c r="U90" s="73" t="s">
        <v>3502</v>
      </c>
      <c r="V90" s="31" t="s">
        <v>3417</v>
      </c>
      <c r="W90" s="69">
        <v>2183.9674</v>
      </c>
      <c r="X90" s="68">
        <f t="shared" ref="X90:X94" si="66">I90*W90</f>
        <v>6551.9022</v>
      </c>
      <c r="Y90" s="26"/>
      <c r="Z90" s="26"/>
      <c r="AA90" s="26" t="s">
        <v>3434</v>
      </c>
      <c r="AB90" s="26"/>
      <c r="AC90" s="26"/>
      <c r="AD90" s="36"/>
      <c r="AE90" s="26"/>
      <c r="AF90" s="66"/>
      <c r="BK90" s="83" t="e">
        <f>$AG90*#REF!</f>
        <v>#REF!</v>
      </c>
      <c r="BL90" s="83" t="e">
        <f>$AG90*#REF!</f>
        <v>#REF!</v>
      </c>
      <c r="BM90" s="83" t="e">
        <f>$AG90*#REF!</f>
        <v>#REF!</v>
      </c>
      <c r="BN90" s="83" t="e">
        <f>$AG90*#REF!</f>
        <v>#REF!</v>
      </c>
      <c r="BO90" s="83" t="e">
        <f>$AG90*#REF!</f>
        <v>#REF!</v>
      </c>
      <c r="BP90" s="83" t="e">
        <f>$AG90*#REF!</f>
        <v>#REF!</v>
      </c>
      <c r="BQ90" s="83" t="e">
        <f>$AG90*#REF!</f>
        <v>#REF!</v>
      </c>
      <c r="BR90" s="83" t="e">
        <f>$AG90*#REF!</f>
        <v>#REF!</v>
      </c>
      <c r="BS90" s="83" t="e">
        <f>$AG90*#REF!</f>
        <v>#REF!</v>
      </c>
      <c r="BT90" s="83" t="e">
        <f>$AG90*#REF!</f>
        <v>#REF!</v>
      </c>
      <c r="BU90" s="83" t="e">
        <f>$AG90*#REF!</f>
        <v>#REF!</v>
      </c>
      <c r="BV90" s="83" t="e">
        <f>$AG90*#REF!</f>
        <v>#REF!</v>
      </c>
      <c r="BW90" s="83" t="e">
        <f>$AG90*#REF!</f>
        <v>#REF!</v>
      </c>
      <c r="BX90" s="83" t="e">
        <f>$AG90*#REF!</f>
        <v>#REF!</v>
      </c>
      <c r="BY90" s="83" t="e">
        <f>$AG90*#REF!</f>
        <v>#REF!</v>
      </c>
      <c r="BZ90" s="83" t="e">
        <f>$AG90*#REF!</f>
        <v>#REF!</v>
      </c>
      <c r="CA90" s="83" t="e">
        <f>$AG90*#REF!</f>
        <v>#REF!</v>
      </c>
      <c r="CB90" s="83" t="e">
        <f>$AG90*#REF!</f>
        <v>#REF!</v>
      </c>
      <c r="CC90" s="83" t="e">
        <f>$AG90*#REF!</f>
        <v>#REF!</v>
      </c>
      <c r="CD90" s="83" t="e">
        <f>$AG90*#REF!</f>
        <v>#REF!</v>
      </c>
      <c r="CE90" s="83" t="e">
        <f>$AG90*#REF!</f>
        <v>#REF!</v>
      </c>
      <c r="CF90" s="83"/>
      <c r="CI90" s="4">
        <f t="shared" si="25"/>
        <v>0</v>
      </c>
      <c r="CL90" s="4">
        <f t="shared" si="29"/>
        <v>0</v>
      </c>
    </row>
    <row r="91" s="4" customFormat="1" ht="24" customHeight="1" spans="1:90">
      <c r="A91" s="24">
        <v>44666</v>
      </c>
      <c r="B91" s="25" t="s">
        <v>1186</v>
      </c>
      <c r="C91" s="26" t="s">
        <v>84</v>
      </c>
      <c r="D91" s="25">
        <v>4500076206</v>
      </c>
      <c r="E91" s="26">
        <v>4231913296</v>
      </c>
      <c r="F91" s="27" t="s">
        <v>3462</v>
      </c>
      <c r="G91" s="37"/>
      <c r="H91" s="38" t="s">
        <v>3418</v>
      </c>
      <c r="I91" s="26">
        <v>3240</v>
      </c>
      <c r="J91" s="26">
        <v>0</v>
      </c>
      <c r="K91" s="26">
        <v>1080</v>
      </c>
      <c r="L91" s="49">
        <f t="shared" si="39"/>
        <v>3</v>
      </c>
      <c r="M91" s="31">
        <v>44706</v>
      </c>
      <c r="N91" s="32" t="s">
        <v>3457</v>
      </c>
      <c r="O91" s="50"/>
      <c r="P91" s="50"/>
      <c r="Q91" s="26"/>
      <c r="R91" s="66" t="s">
        <v>3501</v>
      </c>
      <c r="S91" s="66" t="s">
        <v>48</v>
      </c>
      <c r="T91" s="66">
        <v>44679</v>
      </c>
      <c r="U91" s="73"/>
      <c r="V91" s="31" t="s">
        <v>3417</v>
      </c>
      <c r="W91" s="69">
        <v>0</v>
      </c>
      <c r="X91" s="68">
        <v>0</v>
      </c>
      <c r="Y91" s="26"/>
      <c r="Z91" s="26"/>
      <c r="AA91" s="26" t="s">
        <v>3434</v>
      </c>
      <c r="AB91" s="26"/>
      <c r="AC91" s="26"/>
      <c r="AD91" s="36"/>
      <c r="AE91" s="26"/>
      <c r="AF91" s="66"/>
      <c r="AG91" s="4">
        <f t="shared" si="62"/>
        <v>3240</v>
      </c>
      <c r="AM91" s="4">
        <f t="shared" si="63"/>
        <v>3240</v>
      </c>
      <c r="AN91" s="4">
        <f t="shared" si="64"/>
        <v>3240</v>
      </c>
      <c r="BA91" s="4">
        <f t="shared" si="65"/>
        <v>180</v>
      </c>
      <c r="BK91" s="83" t="e">
        <f>$AG91*#REF!</f>
        <v>#REF!</v>
      </c>
      <c r="BL91" s="83" t="e">
        <f>$AG91*#REF!</f>
        <v>#REF!</v>
      </c>
      <c r="BM91" s="83" t="e">
        <f>$AG91*#REF!</f>
        <v>#REF!</v>
      </c>
      <c r="BN91" s="83" t="e">
        <f>$AG91*#REF!</f>
        <v>#REF!</v>
      </c>
      <c r="BO91" s="83" t="e">
        <f>$AG91*#REF!</f>
        <v>#REF!</v>
      </c>
      <c r="BP91" s="83" t="e">
        <f>$AG91*#REF!</f>
        <v>#REF!</v>
      </c>
      <c r="BQ91" s="83" t="e">
        <f>$AG91*#REF!</f>
        <v>#REF!</v>
      </c>
      <c r="BR91" s="83" t="e">
        <f>$AG91*#REF!</f>
        <v>#REF!</v>
      </c>
      <c r="BS91" s="83" t="e">
        <f>$AG91*#REF!</f>
        <v>#REF!</v>
      </c>
      <c r="BT91" s="83" t="e">
        <f>$AG91*#REF!</f>
        <v>#REF!</v>
      </c>
      <c r="BU91" s="83" t="e">
        <f>$AG91*#REF!</f>
        <v>#REF!</v>
      </c>
      <c r="BV91" s="83" t="e">
        <f>$AG91*#REF!</f>
        <v>#REF!</v>
      </c>
      <c r="BW91" s="83" t="e">
        <f>$AG91*#REF!</f>
        <v>#REF!</v>
      </c>
      <c r="BX91" s="83" t="e">
        <f>$AG91*#REF!</f>
        <v>#REF!</v>
      </c>
      <c r="BY91" s="83" t="e">
        <f>$AG91*#REF!</f>
        <v>#REF!</v>
      </c>
      <c r="BZ91" s="83" t="e">
        <f>$AG91*#REF!</f>
        <v>#REF!</v>
      </c>
      <c r="CA91" s="83" t="e">
        <f>$AG91*#REF!</f>
        <v>#REF!</v>
      </c>
      <c r="CB91" s="83" t="e">
        <f>$AG91*#REF!</f>
        <v>#REF!</v>
      </c>
      <c r="CC91" s="83" t="e">
        <f>$AG91*#REF!</f>
        <v>#REF!</v>
      </c>
      <c r="CD91" s="83" t="e">
        <f>$AG91*#REF!</f>
        <v>#REF!</v>
      </c>
      <c r="CE91" s="83" t="e">
        <f>$AG91*#REF!</f>
        <v>#REF!</v>
      </c>
      <c r="CF91" s="83"/>
      <c r="CI91" s="4">
        <f t="shared" si="25"/>
        <v>0</v>
      </c>
      <c r="CL91" s="4">
        <f t="shared" si="29"/>
        <v>180</v>
      </c>
    </row>
    <row r="92" s="4" customFormat="1" ht="24" customHeight="1" spans="1:90">
      <c r="A92" s="24">
        <v>44666</v>
      </c>
      <c r="B92" s="25" t="s">
        <v>1186</v>
      </c>
      <c r="C92" s="26" t="s">
        <v>84</v>
      </c>
      <c r="D92" s="25">
        <v>4500076206</v>
      </c>
      <c r="E92" s="26">
        <v>4231913297</v>
      </c>
      <c r="F92" s="27" t="s">
        <v>3478</v>
      </c>
      <c r="G92" s="37"/>
      <c r="H92" s="38" t="s">
        <v>3479</v>
      </c>
      <c r="I92" s="26">
        <v>2</v>
      </c>
      <c r="J92" s="26">
        <v>0</v>
      </c>
      <c r="K92" s="26">
        <v>1</v>
      </c>
      <c r="L92" s="49">
        <f t="shared" si="39"/>
        <v>2</v>
      </c>
      <c r="M92" s="31">
        <v>44706</v>
      </c>
      <c r="N92" s="32" t="s">
        <v>3457</v>
      </c>
      <c r="O92" s="50"/>
      <c r="P92" s="50"/>
      <c r="Q92" s="26"/>
      <c r="R92" s="66" t="s">
        <v>3501</v>
      </c>
      <c r="S92" s="66" t="s">
        <v>48</v>
      </c>
      <c r="T92" s="66">
        <v>44679</v>
      </c>
      <c r="U92" s="73" t="s">
        <v>3502</v>
      </c>
      <c r="V92" s="31" t="s">
        <v>3417</v>
      </c>
      <c r="W92" s="69">
        <v>2190.8794</v>
      </c>
      <c r="X92" s="68">
        <f t="shared" si="66"/>
        <v>4381.7588</v>
      </c>
      <c r="Y92" s="26"/>
      <c r="Z92" s="26"/>
      <c r="AA92" s="26" t="s">
        <v>3434</v>
      </c>
      <c r="AB92" s="26"/>
      <c r="AC92" s="26"/>
      <c r="AD92" s="36"/>
      <c r="AE92" s="26"/>
      <c r="AF92" s="66"/>
      <c r="BK92" s="83" t="e">
        <f>$AG92*#REF!</f>
        <v>#REF!</v>
      </c>
      <c r="BL92" s="83" t="e">
        <f>$AG92*#REF!</f>
        <v>#REF!</v>
      </c>
      <c r="BM92" s="83" t="e">
        <f>$AG92*#REF!</f>
        <v>#REF!</v>
      </c>
      <c r="BN92" s="83" t="e">
        <f>$AG92*#REF!</f>
        <v>#REF!</v>
      </c>
      <c r="BO92" s="83" t="e">
        <f>$AG92*#REF!</f>
        <v>#REF!</v>
      </c>
      <c r="BP92" s="83" t="e">
        <f>$AG92*#REF!</f>
        <v>#REF!</v>
      </c>
      <c r="BQ92" s="83" t="e">
        <f>$AG92*#REF!</f>
        <v>#REF!</v>
      </c>
      <c r="BR92" s="83" t="e">
        <f>$AG92*#REF!</f>
        <v>#REF!</v>
      </c>
      <c r="BS92" s="83" t="e">
        <f>$AG92*#REF!</f>
        <v>#REF!</v>
      </c>
      <c r="BT92" s="83" t="e">
        <f>$AG92*#REF!</f>
        <v>#REF!</v>
      </c>
      <c r="BU92" s="83" t="e">
        <f>$AG92*#REF!</f>
        <v>#REF!</v>
      </c>
      <c r="BV92" s="83" t="e">
        <f>$AG92*#REF!</f>
        <v>#REF!</v>
      </c>
      <c r="BW92" s="83" t="e">
        <f>$AG92*#REF!</f>
        <v>#REF!</v>
      </c>
      <c r="BX92" s="83" t="e">
        <f>$AG92*#REF!</f>
        <v>#REF!</v>
      </c>
      <c r="BY92" s="83" t="e">
        <f>$AG92*#REF!</f>
        <v>#REF!</v>
      </c>
      <c r="BZ92" s="83" t="e">
        <f>$AG92*#REF!</f>
        <v>#REF!</v>
      </c>
      <c r="CA92" s="83" t="e">
        <f>$AG92*#REF!</f>
        <v>#REF!</v>
      </c>
      <c r="CB92" s="83" t="e">
        <f>$AG92*#REF!</f>
        <v>#REF!</v>
      </c>
      <c r="CC92" s="83" t="e">
        <f>$AG92*#REF!</f>
        <v>#REF!</v>
      </c>
      <c r="CD92" s="83" t="e">
        <f>$AG92*#REF!</f>
        <v>#REF!</v>
      </c>
      <c r="CE92" s="83" t="e">
        <f>$AG92*#REF!</f>
        <v>#REF!</v>
      </c>
      <c r="CF92" s="83"/>
      <c r="CI92" s="4">
        <f t="shared" si="25"/>
        <v>0</v>
      </c>
      <c r="CL92" s="4">
        <f t="shared" si="29"/>
        <v>0</v>
      </c>
    </row>
    <row r="93" s="4" customFormat="1" ht="24" customHeight="1" spans="1:90">
      <c r="A93" s="24">
        <v>44666</v>
      </c>
      <c r="B93" s="25" t="s">
        <v>1186</v>
      </c>
      <c r="C93" s="26" t="s">
        <v>84</v>
      </c>
      <c r="D93" s="25">
        <v>4500076206</v>
      </c>
      <c r="E93" s="26">
        <v>4231913297</v>
      </c>
      <c r="F93" s="27" t="s">
        <v>3462</v>
      </c>
      <c r="G93" s="37"/>
      <c r="H93" s="38" t="s">
        <v>3418</v>
      </c>
      <c r="I93" s="26">
        <v>2160</v>
      </c>
      <c r="J93" s="26">
        <v>0</v>
      </c>
      <c r="K93" s="26">
        <v>1080</v>
      </c>
      <c r="L93" s="49">
        <f t="shared" si="39"/>
        <v>2</v>
      </c>
      <c r="M93" s="31">
        <v>44706</v>
      </c>
      <c r="N93" s="32" t="s">
        <v>3457</v>
      </c>
      <c r="O93" s="50"/>
      <c r="P93" s="50"/>
      <c r="Q93" s="26"/>
      <c r="R93" s="66" t="s">
        <v>3501</v>
      </c>
      <c r="S93" s="66" t="s">
        <v>48</v>
      </c>
      <c r="T93" s="66">
        <v>44679</v>
      </c>
      <c r="U93" s="73"/>
      <c r="V93" s="31" t="s">
        <v>3417</v>
      </c>
      <c r="W93" s="69">
        <v>0</v>
      </c>
      <c r="X93" s="68">
        <v>0</v>
      </c>
      <c r="Y93" s="26"/>
      <c r="Z93" s="26"/>
      <c r="AA93" s="26" t="s">
        <v>3434</v>
      </c>
      <c r="AB93" s="26"/>
      <c r="AC93" s="26"/>
      <c r="AD93" s="36"/>
      <c r="AE93" s="26"/>
      <c r="AF93" s="66"/>
      <c r="AG93" s="4">
        <f t="shared" si="62"/>
        <v>2160</v>
      </c>
      <c r="AM93" s="4">
        <f t="shared" si="63"/>
        <v>2160</v>
      </c>
      <c r="AN93" s="4">
        <f t="shared" si="64"/>
        <v>2160</v>
      </c>
      <c r="BA93" s="4">
        <f t="shared" si="65"/>
        <v>120</v>
      </c>
      <c r="BK93" s="83" t="e">
        <f>$AG93*#REF!</f>
        <v>#REF!</v>
      </c>
      <c r="BL93" s="83" t="e">
        <f>$AG93*#REF!</f>
        <v>#REF!</v>
      </c>
      <c r="BM93" s="83" t="e">
        <f>$AG93*#REF!</f>
        <v>#REF!</v>
      </c>
      <c r="BN93" s="83" t="e">
        <f>$AG93*#REF!</f>
        <v>#REF!</v>
      </c>
      <c r="BO93" s="83" t="e">
        <f>$AG93*#REF!</f>
        <v>#REF!</v>
      </c>
      <c r="BP93" s="83" t="e">
        <f>$AG93*#REF!</f>
        <v>#REF!</v>
      </c>
      <c r="BQ93" s="83" t="e">
        <f>$AG93*#REF!</f>
        <v>#REF!</v>
      </c>
      <c r="BR93" s="83" t="e">
        <f>$AG93*#REF!</f>
        <v>#REF!</v>
      </c>
      <c r="BS93" s="83" t="e">
        <f>$AG93*#REF!</f>
        <v>#REF!</v>
      </c>
      <c r="BT93" s="83" t="e">
        <f>$AG93*#REF!</f>
        <v>#REF!</v>
      </c>
      <c r="BU93" s="83" t="e">
        <f>$AG93*#REF!</f>
        <v>#REF!</v>
      </c>
      <c r="BV93" s="83" t="e">
        <f>$AG93*#REF!</f>
        <v>#REF!</v>
      </c>
      <c r="BW93" s="83" t="e">
        <f>$AG93*#REF!</f>
        <v>#REF!</v>
      </c>
      <c r="BX93" s="83" t="e">
        <f>$AG93*#REF!</f>
        <v>#REF!</v>
      </c>
      <c r="BY93" s="83" t="e">
        <f>$AG93*#REF!</f>
        <v>#REF!</v>
      </c>
      <c r="BZ93" s="83" t="e">
        <f>$AG93*#REF!</f>
        <v>#REF!</v>
      </c>
      <c r="CA93" s="83" t="e">
        <f>$AG93*#REF!</f>
        <v>#REF!</v>
      </c>
      <c r="CB93" s="83" t="e">
        <f>$AG93*#REF!</f>
        <v>#REF!</v>
      </c>
      <c r="CC93" s="83" t="e">
        <f>$AG93*#REF!</f>
        <v>#REF!</v>
      </c>
      <c r="CD93" s="83" t="e">
        <f>$AG93*#REF!</f>
        <v>#REF!</v>
      </c>
      <c r="CE93" s="83" t="e">
        <f>$AG93*#REF!</f>
        <v>#REF!</v>
      </c>
      <c r="CF93" s="83"/>
      <c r="CI93" s="4">
        <f t="shared" si="25"/>
        <v>0</v>
      </c>
      <c r="CL93" s="4">
        <f t="shared" si="29"/>
        <v>120</v>
      </c>
    </row>
    <row r="94" s="4" customFormat="1" ht="24" customHeight="1" spans="1:90">
      <c r="A94" s="24">
        <v>44666</v>
      </c>
      <c r="B94" s="25" t="s">
        <v>1186</v>
      </c>
      <c r="C94" s="26" t="s">
        <v>84</v>
      </c>
      <c r="D94" s="25">
        <v>4500076206</v>
      </c>
      <c r="E94" s="26">
        <v>4231913298</v>
      </c>
      <c r="F94" s="27" t="s">
        <v>3478</v>
      </c>
      <c r="G94" s="37"/>
      <c r="H94" s="38" t="s">
        <v>3479</v>
      </c>
      <c r="I94" s="26">
        <v>2</v>
      </c>
      <c r="J94" s="26">
        <v>0</v>
      </c>
      <c r="K94" s="26">
        <v>1</v>
      </c>
      <c r="L94" s="49">
        <f t="shared" si="39"/>
        <v>2</v>
      </c>
      <c r="M94" s="31">
        <v>44706</v>
      </c>
      <c r="N94" s="32" t="s">
        <v>3457</v>
      </c>
      <c r="O94" s="50"/>
      <c r="P94" s="50"/>
      <c r="Q94" s="26"/>
      <c r="R94" s="66" t="s">
        <v>3501</v>
      </c>
      <c r="S94" s="66" t="s">
        <v>48</v>
      </c>
      <c r="T94" s="66">
        <v>44679</v>
      </c>
      <c r="U94" s="73" t="s">
        <v>3502</v>
      </c>
      <c r="V94" s="31" t="s">
        <v>3417</v>
      </c>
      <c r="W94" s="69">
        <v>2190.8794</v>
      </c>
      <c r="X94" s="68">
        <f t="shared" si="66"/>
        <v>4381.7588</v>
      </c>
      <c r="Y94" s="26"/>
      <c r="Z94" s="26"/>
      <c r="AA94" s="26" t="s">
        <v>3434</v>
      </c>
      <c r="AB94" s="26"/>
      <c r="AC94" s="26"/>
      <c r="AD94" s="36"/>
      <c r="AE94" s="26"/>
      <c r="AF94" s="66"/>
      <c r="BK94" s="83" t="e">
        <f>$AG94*#REF!</f>
        <v>#REF!</v>
      </c>
      <c r="BL94" s="83" t="e">
        <f>$AG94*#REF!</f>
        <v>#REF!</v>
      </c>
      <c r="BM94" s="83" t="e">
        <f>$AG94*#REF!</f>
        <v>#REF!</v>
      </c>
      <c r="BN94" s="83" t="e">
        <f>$AG94*#REF!</f>
        <v>#REF!</v>
      </c>
      <c r="BO94" s="83" t="e">
        <f>$AG94*#REF!</f>
        <v>#REF!</v>
      </c>
      <c r="BP94" s="83" t="e">
        <f>$AG94*#REF!</f>
        <v>#REF!</v>
      </c>
      <c r="BQ94" s="83" t="e">
        <f>$AG94*#REF!</f>
        <v>#REF!</v>
      </c>
      <c r="BR94" s="83" t="e">
        <f>$AG94*#REF!</f>
        <v>#REF!</v>
      </c>
      <c r="BS94" s="83" t="e">
        <f>$AG94*#REF!</f>
        <v>#REF!</v>
      </c>
      <c r="BT94" s="83" t="e">
        <f>$AG94*#REF!</f>
        <v>#REF!</v>
      </c>
      <c r="BU94" s="83" t="e">
        <f>$AG94*#REF!</f>
        <v>#REF!</v>
      </c>
      <c r="BV94" s="83" t="e">
        <f>$AG94*#REF!</f>
        <v>#REF!</v>
      </c>
      <c r="BW94" s="83" t="e">
        <f>$AG94*#REF!</f>
        <v>#REF!</v>
      </c>
      <c r="BX94" s="83" t="e">
        <f>$AG94*#REF!</f>
        <v>#REF!</v>
      </c>
      <c r="BY94" s="83" t="e">
        <f>$AG94*#REF!</f>
        <v>#REF!</v>
      </c>
      <c r="BZ94" s="83" t="e">
        <f>$AG94*#REF!</f>
        <v>#REF!</v>
      </c>
      <c r="CA94" s="83" t="e">
        <f>$AG94*#REF!</f>
        <v>#REF!</v>
      </c>
      <c r="CB94" s="83" t="e">
        <f>$AG94*#REF!</f>
        <v>#REF!</v>
      </c>
      <c r="CC94" s="83" t="e">
        <f>$AG94*#REF!</f>
        <v>#REF!</v>
      </c>
      <c r="CD94" s="83" t="e">
        <f>$AG94*#REF!</f>
        <v>#REF!</v>
      </c>
      <c r="CE94" s="83" t="e">
        <f>$AG94*#REF!</f>
        <v>#REF!</v>
      </c>
      <c r="CF94" s="83"/>
      <c r="CI94" s="4">
        <f t="shared" si="25"/>
        <v>0</v>
      </c>
      <c r="CL94" s="4">
        <f t="shared" si="29"/>
        <v>0</v>
      </c>
    </row>
    <row r="95" s="4" customFormat="1" ht="24" customHeight="1" spans="1:90">
      <c r="A95" s="24">
        <v>44666</v>
      </c>
      <c r="B95" s="25" t="s">
        <v>1186</v>
      </c>
      <c r="C95" s="26" t="s">
        <v>84</v>
      </c>
      <c r="D95" s="25">
        <v>4500076206</v>
      </c>
      <c r="E95" s="26">
        <v>4231913298</v>
      </c>
      <c r="F95" s="27" t="s">
        <v>3462</v>
      </c>
      <c r="G95" s="37"/>
      <c r="H95" s="38" t="s">
        <v>3418</v>
      </c>
      <c r="I95" s="26">
        <v>2160</v>
      </c>
      <c r="J95" s="26">
        <v>0</v>
      </c>
      <c r="K95" s="26">
        <v>1080</v>
      </c>
      <c r="L95" s="49">
        <f t="shared" si="39"/>
        <v>2</v>
      </c>
      <c r="M95" s="31">
        <v>44706</v>
      </c>
      <c r="N95" s="32" t="s">
        <v>3457</v>
      </c>
      <c r="O95" s="50"/>
      <c r="P95" s="50"/>
      <c r="Q95" s="26"/>
      <c r="R95" s="66" t="s">
        <v>3501</v>
      </c>
      <c r="S95" s="66" t="s">
        <v>48</v>
      </c>
      <c r="T95" s="66">
        <v>44679</v>
      </c>
      <c r="U95" s="73"/>
      <c r="V95" s="31" t="s">
        <v>3417</v>
      </c>
      <c r="W95" s="69">
        <v>0</v>
      </c>
      <c r="X95" s="68">
        <v>0</v>
      </c>
      <c r="Y95" s="26"/>
      <c r="Z95" s="26"/>
      <c r="AA95" s="26" t="s">
        <v>3434</v>
      </c>
      <c r="AB95" s="26"/>
      <c r="AC95" s="26"/>
      <c r="AD95" s="36"/>
      <c r="AE95" s="26"/>
      <c r="AF95" s="66"/>
      <c r="AG95" s="4">
        <f t="shared" ref="AG95:AG104" si="67">I95</f>
        <v>2160</v>
      </c>
      <c r="AM95" s="4">
        <f t="shared" ref="AM95:AM102" si="68">I95</f>
        <v>2160</v>
      </c>
      <c r="AN95" s="4">
        <f t="shared" ref="AN95:AN102" si="69">I95</f>
        <v>2160</v>
      </c>
      <c r="BA95" s="4">
        <f t="shared" ref="BA95:BA102" si="70">I95/18</f>
        <v>120</v>
      </c>
      <c r="BK95" s="83" t="e">
        <f>$AG95*#REF!</f>
        <v>#REF!</v>
      </c>
      <c r="BL95" s="83" t="e">
        <f>$AG95*#REF!</f>
        <v>#REF!</v>
      </c>
      <c r="BM95" s="83" t="e">
        <f>$AG95*#REF!</f>
        <v>#REF!</v>
      </c>
      <c r="BN95" s="83" t="e">
        <f>$AG95*#REF!</f>
        <v>#REF!</v>
      </c>
      <c r="BO95" s="83" t="e">
        <f>$AG95*#REF!</f>
        <v>#REF!</v>
      </c>
      <c r="BP95" s="83" t="e">
        <f>$AG95*#REF!</f>
        <v>#REF!</v>
      </c>
      <c r="BQ95" s="83" t="e">
        <f>$AG95*#REF!</f>
        <v>#REF!</v>
      </c>
      <c r="BR95" s="83" t="e">
        <f>$AG95*#REF!</f>
        <v>#REF!</v>
      </c>
      <c r="BS95" s="83" t="e">
        <f>$AG95*#REF!</f>
        <v>#REF!</v>
      </c>
      <c r="BT95" s="83" t="e">
        <f>$AG95*#REF!</f>
        <v>#REF!</v>
      </c>
      <c r="BU95" s="83" t="e">
        <f>$AG95*#REF!</f>
        <v>#REF!</v>
      </c>
      <c r="BV95" s="83" t="e">
        <f>$AG95*#REF!</f>
        <v>#REF!</v>
      </c>
      <c r="BW95" s="83" t="e">
        <f>$AG95*#REF!</f>
        <v>#REF!</v>
      </c>
      <c r="BX95" s="83" t="e">
        <f>$AG95*#REF!</f>
        <v>#REF!</v>
      </c>
      <c r="BY95" s="83" t="e">
        <f>$AG95*#REF!</f>
        <v>#REF!</v>
      </c>
      <c r="BZ95" s="83" t="e">
        <f>$AG95*#REF!</f>
        <v>#REF!</v>
      </c>
      <c r="CA95" s="83" t="e">
        <f>$AG95*#REF!</f>
        <v>#REF!</v>
      </c>
      <c r="CB95" s="83" t="e">
        <f>$AG95*#REF!</f>
        <v>#REF!</v>
      </c>
      <c r="CC95" s="83" t="e">
        <f>$AG95*#REF!</f>
        <v>#REF!</v>
      </c>
      <c r="CD95" s="83" t="e">
        <f>$AG95*#REF!</f>
        <v>#REF!</v>
      </c>
      <c r="CE95" s="83" t="e">
        <f>$AG95*#REF!</f>
        <v>#REF!</v>
      </c>
      <c r="CF95" s="83"/>
      <c r="CI95" s="4">
        <f t="shared" si="25"/>
        <v>0</v>
      </c>
      <c r="CL95" s="4">
        <f t="shared" si="29"/>
        <v>120</v>
      </c>
    </row>
    <row r="96" s="4" customFormat="1" ht="24" customHeight="1" spans="1:90">
      <c r="A96" s="24">
        <v>44676</v>
      </c>
      <c r="B96" s="25" t="s">
        <v>1186</v>
      </c>
      <c r="C96" s="26" t="s">
        <v>84</v>
      </c>
      <c r="D96" s="25">
        <v>45500077061</v>
      </c>
      <c r="E96" s="26">
        <v>4231912841</v>
      </c>
      <c r="F96" s="27" t="s">
        <v>3447</v>
      </c>
      <c r="G96" s="37"/>
      <c r="H96" s="38" t="s">
        <v>3448</v>
      </c>
      <c r="I96" s="26">
        <v>4320</v>
      </c>
      <c r="J96" s="26">
        <v>0</v>
      </c>
      <c r="K96" s="26">
        <v>18</v>
      </c>
      <c r="L96" s="49">
        <f t="shared" si="39"/>
        <v>240</v>
      </c>
      <c r="M96" s="31">
        <v>44720</v>
      </c>
      <c r="N96" s="32" t="s">
        <v>3457</v>
      </c>
      <c r="O96" s="50"/>
      <c r="P96" s="50"/>
      <c r="Q96" s="26"/>
      <c r="R96" s="66" t="s">
        <v>3496</v>
      </c>
      <c r="S96" s="66" t="s">
        <v>48</v>
      </c>
      <c r="T96" s="66" t="s">
        <v>49</v>
      </c>
      <c r="U96" s="73" t="s">
        <v>3503</v>
      </c>
      <c r="V96" s="31" t="s">
        <v>3417</v>
      </c>
      <c r="W96" s="69">
        <v>2.0414</v>
      </c>
      <c r="X96" s="68">
        <f t="shared" ref="X96:X109" si="71">I96*W96</f>
        <v>8818.848</v>
      </c>
      <c r="Y96" s="26"/>
      <c r="Z96" s="26"/>
      <c r="AA96" s="26"/>
      <c r="AB96" s="26"/>
      <c r="AC96" s="26"/>
      <c r="AD96" s="36"/>
      <c r="AE96" s="26"/>
      <c r="AF96" s="66"/>
      <c r="AG96" s="4">
        <f t="shared" si="67"/>
        <v>4320</v>
      </c>
      <c r="AM96" s="4">
        <f t="shared" si="68"/>
        <v>4320</v>
      </c>
      <c r="AN96" s="4">
        <f t="shared" si="69"/>
        <v>4320</v>
      </c>
      <c r="BA96" s="4">
        <f t="shared" si="70"/>
        <v>240</v>
      </c>
      <c r="BK96" s="83" t="e">
        <f>$AG96*#REF!</f>
        <v>#REF!</v>
      </c>
      <c r="BL96" s="83" t="e">
        <f>$AG96*#REF!</f>
        <v>#REF!</v>
      </c>
      <c r="BM96" s="83" t="e">
        <f>$AG96*#REF!</f>
        <v>#REF!</v>
      </c>
      <c r="BN96" s="83" t="e">
        <f>$AG96*#REF!</f>
        <v>#REF!</v>
      </c>
      <c r="BO96" s="83" t="e">
        <f>$AG96*#REF!</f>
        <v>#REF!</v>
      </c>
      <c r="BP96" s="83" t="e">
        <f>$AG96*#REF!</f>
        <v>#REF!</v>
      </c>
      <c r="BQ96" s="83" t="e">
        <f>$AG96*#REF!</f>
        <v>#REF!</v>
      </c>
      <c r="BR96" s="83" t="e">
        <f>$AG96*#REF!</f>
        <v>#REF!</v>
      </c>
      <c r="BS96" s="83" t="e">
        <f>$AG96*#REF!</f>
        <v>#REF!</v>
      </c>
      <c r="BT96" s="83" t="e">
        <f>$AG96*#REF!</f>
        <v>#REF!</v>
      </c>
      <c r="BU96" s="83" t="e">
        <f>$AG96*#REF!</f>
        <v>#REF!</v>
      </c>
      <c r="BV96" s="83" t="e">
        <f>$AG96*#REF!</f>
        <v>#REF!</v>
      </c>
      <c r="BW96" s="83" t="e">
        <f>$AG96*#REF!</f>
        <v>#REF!</v>
      </c>
      <c r="BX96" s="83" t="e">
        <f>$AG96*#REF!</f>
        <v>#REF!</v>
      </c>
      <c r="BY96" s="83" t="e">
        <f>$AG96*#REF!</f>
        <v>#REF!</v>
      </c>
      <c r="BZ96" s="83" t="e">
        <f>$AG96*#REF!</f>
        <v>#REF!</v>
      </c>
      <c r="CA96" s="83" t="e">
        <f>$AG96*#REF!</f>
        <v>#REF!</v>
      </c>
      <c r="CB96" s="83" t="e">
        <f>$AG96*#REF!</f>
        <v>#REF!</v>
      </c>
      <c r="CC96" s="83" t="e">
        <f>$AG96*#REF!</f>
        <v>#REF!</v>
      </c>
      <c r="CD96" s="83" t="e">
        <f>$AG96*#REF!</f>
        <v>#REF!</v>
      </c>
      <c r="CE96" s="83" t="e">
        <f>$AG96*#REF!</f>
        <v>#REF!</v>
      </c>
      <c r="CF96" s="83"/>
      <c r="CI96" s="4">
        <f t="shared" si="25"/>
        <v>0</v>
      </c>
      <c r="CL96" s="4">
        <f t="shared" si="29"/>
        <v>240</v>
      </c>
    </row>
    <row r="97" s="4" customFormat="1" ht="24" customHeight="1" spans="1:90">
      <c r="A97" s="24">
        <v>44676</v>
      </c>
      <c r="B97" s="25" t="s">
        <v>1186</v>
      </c>
      <c r="C97" s="26" t="s">
        <v>84</v>
      </c>
      <c r="D97" s="25">
        <v>45500077061</v>
      </c>
      <c r="E97" s="26">
        <v>4231912842</v>
      </c>
      <c r="F97" s="27" t="s">
        <v>3447</v>
      </c>
      <c r="G97" s="37"/>
      <c r="H97" s="38" t="s">
        <v>3448</v>
      </c>
      <c r="I97" s="26">
        <v>3240</v>
      </c>
      <c r="J97" s="26">
        <v>0</v>
      </c>
      <c r="K97" s="26">
        <v>18</v>
      </c>
      <c r="L97" s="49">
        <f t="shared" si="39"/>
        <v>180</v>
      </c>
      <c r="M97" s="31">
        <v>44720</v>
      </c>
      <c r="N97" s="32" t="s">
        <v>3457</v>
      </c>
      <c r="O97" s="50"/>
      <c r="P97" s="50"/>
      <c r="Q97" s="26"/>
      <c r="R97" s="66" t="s">
        <v>3496</v>
      </c>
      <c r="S97" s="66" t="s">
        <v>48</v>
      </c>
      <c r="T97" s="66" t="s">
        <v>49</v>
      </c>
      <c r="U97" s="73" t="s">
        <v>3503</v>
      </c>
      <c r="V97" s="31" t="s">
        <v>3417</v>
      </c>
      <c r="W97" s="69">
        <v>1.9756</v>
      </c>
      <c r="X97" s="68">
        <f t="shared" si="71"/>
        <v>6400.944</v>
      </c>
      <c r="Y97" s="26"/>
      <c r="Z97" s="26"/>
      <c r="AA97" s="26"/>
      <c r="AB97" s="26"/>
      <c r="AC97" s="26"/>
      <c r="AD97" s="36"/>
      <c r="AE97" s="26"/>
      <c r="AF97" s="66"/>
      <c r="AG97" s="4">
        <f t="shared" si="67"/>
        <v>3240</v>
      </c>
      <c r="AM97" s="4">
        <f t="shared" si="68"/>
        <v>3240</v>
      </c>
      <c r="AN97" s="4">
        <f t="shared" si="69"/>
        <v>3240</v>
      </c>
      <c r="BA97" s="4">
        <f t="shared" si="70"/>
        <v>180</v>
      </c>
      <c r="BK97" s="83" t="e">
        <f>$AG97*#REF!</f>
        <v>#REF!</v>
      </c>
      <c r="BL97" s="83" t="e">
        <f>$AG97*#REF!</f>
        <v>#REF!</v>
      </c>
      <c r="BM97" s="83" t="e">
        <f>$AG97*#REF!</f>
        <v>#REF!</v>
      </c>
      <c r="BN97" s="83" t="e">
        <f>$AG97*#REF!</f>
        <v>#REF!</v>
      </c>
      <c r="BO97" s="83" t="e">
        <f>$AG97*#REF!</f>
        <v>#REF!</v>
      </c>
      <c r="BP97" s="83" t="e">
        <f>$AG97*#REF!</f>
        <v>#REF!</v>
      </c>
      <c r="BQ97" s="83" t="e">
        <f>$AG97*#REF!</f>
        <v>#REF!</v>
      </c>
      <c r="BR97" s="83" t="e">
        <f>$AG97*#REF!</f>
        <v>#REF!</v>
      </c>
      <c r="BS97" s="83" t="e">
        <f>$AG97*#REF!</f>
        <v>#REF!</v>
      </c>
      <c r="BT97" s="83" t="e">
        <f>$AG97*#REF!</f>
        <v>#REF!</v>
      </c>
      <c r="BU97" s="83" t="e">
        <f>$AG97*#REF!</f>
        <v>#REF!</v>
      </c>
      <c r="BV97" s="83" t="e">
        <f>$AG97*#REF!</f>
        <v>#REF!</v>
      </c>
      <c r="BW97" s="83" t="e">
        <f>$AG97*#REF!</f>
        <v>#REF!</v>
      </c>
      <c r="BX97" s="83" t="e">
        <f>$AG97*#REF!</f>
        <v>#REF!</v>
      </c>
      <c r="BY97" s="83" t="e">
        <f>$AG97*#REF!</f>
        <v>#REF!</v>
      </c>
      <c r="BZ97" s="83" t="e">
        <f>$AG97*#REF!</f>
        <v>#REF!</v>
      </c>
      <c r="CA97" s="83" t="e">
        <f>$AG97*#REF!</f>
        <v>#REF!</v>
      </c>
      <c r="CB97" s="83" t="e">
        <f>$AG97*#REF!</f>
        <v>#REF!</v>
      </c>
      <c r="CC97" s="83" t="e">
        <f>$AG97*#REF!</f>
        <v>#REF!</v>
      </c>
      <c r="CD97" s="83" t="e">
        <f>$AG97*#REF!</f>
        <v>#REF!</v>
      </c>
      <c r="CE97" s="83" t="e">
        <f>$AG97*#REF!</f>
        <v>#REF!</v>
      </c>
      <c r="CF97" s="83"/>
      <c r="CI97" s="4">
        <f t="shared" si="25"/>
        <v>0</v>
      </c>
      <c r="CL97" s="4">
        <f t="shared" si="29"/>
        <v>180</v>
      </c>
    </row>
    <row r="98" s="4" customFormat="1" ht="24" customHeight="1" spans="1:90">
      <c r="A98" s="24">
        <v>44676</v>
      </c>
      <c r="B98" s="25" t="s">
        <v>1186</v>
      </c>
      <c r="C98" s="26" t="s">
        <v>84</v>
      </c>
      <c r="D98" s="25">
        <v>45500077061</v>
      </c>
      <c r="E98" s="26">
        <v>4231912843</v>
      </c>
      <c r="F98" s="27" t="s">
        <v>3447</v>
      </c>
      <c r="G98" s="37"/>
      <c r="H98" s="38" t="s">
        <v>3448</v>
      </c>
      <c r="I98" s="26">
        <v>3240</v>
      </c>
      <c r="J98" s="26">
        <v>0</v>
      </c>
      <c r="K98" s="26">
        <v>18</v>
      </c>
      <c r="L98" s="49">
        <f t="shared" si="39"/>
        <v>180</v>
      </c>
      <c r="M98" s="31">
        <v>44720</v>
      </c>
      <c r="N98" s="32" t="s">
        <v>3457</v>
      </c>
      <c r="O98" s="50"/>
      <c r="P98" s="50"/>
      <c r="Q98" s="26"/>
      <c r="R98" s="66" t="s">
        <v>3496</v>
      </c>
      <c r="S98" s="66" t="s">
        <v>48</v>
      </c>
      <c r="T98" s="66" t="s">
        <v>49</v>
      </c>
      <c r="U98" s="73" t="s">
        <v>3503</v>
      </c>
      <c r="V98" s="31" t="s">
        <v>3417</v>
      </c>
      <c r="W98" s="69">
        <v>1.9756</v>
      </c>
      <c r="X98" s="68">
        <f t="shared" si="71"/>
        <v>6400.944</v>
      </c>
      <c r="Y98" s="26"/>
      <c r="Z98" s="26"/>
      <c r="AA98" s="26"/>
      <c r="AB98" s="26"/>
      <c r="AC98" s="26"/>
      <c r="AD98" s="36"/>
      <c r="AE98" s="26"/>
      <c r="AF98" s="66"/>
      <c r="AG98" s="4">
        <f t="shared" si="67"/>
        <v>3240</v>
      </c>
      <c r="AM98" s="4">
        <f t="shared" si="68"/>
        <v>3240</v>
      </c>
      <c r="AN98" s="4">
        <f t="shared" si="69"/>
        <v>3240</v>
      </c>
      <c r="BA98" s="4">
        <f t="shared" si="70"/>
        <v>180</v>
      </c>
      <c r="BK98" s="83" t="e">
        <f>$AG98*#REF!</f>
        <v>#REF!</v>
      </c>
      <c r="BL98" s="83" t="e">
        <f>$AG98*#REF!</f>
        <v>#REF!</v>
      </c>
      <c r="BM98" s="83" t="e">
        <f>$AG98*#REF!</f>
        <v>#REF!</v>
      </c>
      <c r="BN98" s="83" t="e">
        <f>$AG98*#REF!</f>
        <v>#REF!</v>
      </c>
      <c r="BO98" s="83" t="e">
        <f>$AG98*#REF!</f>
        <v>#REF!</v>
      </c>
      <c r="BP98" s="83" t="e">
        <f>$AG98*#REF!</f>
        <v>#REF!</v>
      </c>
      <c r="BQ98" s="83" t="e">
        <f>$AG98*#REF!</f>
        <v>#REF!</v>
      </c>
      <c r="BR98" s="83" t="e">
        <f>$AG98*#REF!</f>
        <v>#REF!</v>
      </c>
      <c r="BS98" s="83" t="e">
        <f>$AG98*#REF!</f>
        <v>#REF!</v>
      </c>
      <c r="BT98" s="83" t="e">
        <f>$AG98*#REF!</f>
        <v>#REF!</v>
      </c>
      <c r="BU98" s="83" t="e">
        <f>$AG98*#REF!</f>
        <v>#REF!</v>
      </c>
      <c r="BV98" s="83" t="e">
        <f>$AG98*#REF!</f>
        <v>#REF!</v>
      </c>
      <c r="BW98" s="83" t="e">
        <f>$AG98*#REF!</f>
        <v>#REF!</v>
      </c>
      <c r="BX98" s="83" t="e">
        <f>$AG98*#REF!</f>
        <v>#REF!</v>
      </c>
      <c r="BY98" s="83" t="e">
        <f>$AG98*#REF!</f>
        <v>#REF!</v>
      </c>
      <c r="BZ98" s="83" t="e">
        <f>$AG98*#REF!</f>
        <v>#REF!</v>
      </c>
      <c r="CA98" s="83" t="e">
        <f>$AG98*#REF!</f>
        <v>#REF!</v>
      </c>
      <c r="CB98" s="83" t="e">
        <f>$AG98*#REF!</f>
        <v>#REF!</v>
      </c>
      <c r="CC98" s="83" t="e">
        <f>$AG98*#REF!</f>
        <v>#REF!</v>
      </c>
      <c r="CD98" s="83" t="e">
        <f>$AG98*#REF!</f>
        <v>#REF!</v>
      </c>
      <c r="CE98" s="83" t="e">
        <f>$AG98*#REF!</f>
        <v>#REF!</v>
      </c>
      <c r="CF98" s="83"/>
      <c r="CI98" s="4">
        <f t="shared" si="25"/>
        <v>0</v>
      </c>
      <c r="CL98" s="4">
        <f t="shared" si="29"/>
        <v>180</v>
      </c>
    </row>
    <row r="99" s="4" customFormat="1" ht="24" customHeight="1" spans="1:90">
      <c r="A99" s="24">
        <v>44676</v>
      </c>
      <c r="B99" s="25" t="s">
        <v>1186</v>
      </c>
      <c r="C99" s="26" t="s">
        <v>84</v>
      </c>
      <c r="D99" s="25">
        <v>45500077061</v>
      </c>
      <c r="E99" s="26">
        <v>4231912844</v>
      </c>
      <c r="F99" s="27" t="s">
        <v>3447</v>
      </c>
      <c r="G99" s="37"/>
      <c r="H99" s="38" t="s">
        <v>3448</v>
      </c>
      <c r="I99" s="26">
        <v>4320</v>
      </c>
      <c r="J99" s="26">
        <v>0</v>
      </c>
      <c r="K99" s="26">
        <v>18</v>
      </c>
      <c r="L99" s="49">
        <f t="shared" si="39"/>
        <v>240</v>
      </c>
      <c r="M99" s="31">
        <v>44720</v>
      </c>
      <c r="N99" s="32" t="s">
        <v>3457</v>
      </c>
      <c r="O99" s="50"/>
      <c r="P99" s="50"/>
      <c r="Q99" s="26"/>
      <c r="R99" s="66" t="s">
        <v>3496</v>
      </c>
      <c r="S99" s="66" t="s">
        <v>48</v>
      </c>
      <c r="T99" s="66" t="s">
        <v>49</v>
      </c>
      <c r="U99" s="73" t="s">
        <v>3503</v>
      </c>
      <c r="V99" s="31" t="s">
        <v>3417</v>
      </c>
      <c r="W99" s="69">
        <v>1.9756</v>
      </c>
      <c r="X99" s="68">
        <f t="shared" si="71"/>
        <v>8534.592</v>
      </c>
      <c r="Y99" s="26"/>
      <c r="Z99" s="26"/>
      <c r="AA99" s="26"/>
      <c r="AB99" s="26"/>
      <c r="AC99" s="26"/>
      <c r="AD99" s="36"/>
      <c r="AE99" s="26"/>
      <c r="AF99" s="66"/>
      <c r="AG99" s="4">
        <f t="shared" si="67"/>
        <v>4320</v>
      </c>
      <c r="AM99" s="4">
        <f t="shared" si="68"/>
        <v>4320</v>
      </c>
      <c r="AN99" s="4">
        <f t="shared" si="69"/>
        <v>4320</v>
      </c>
      <c r="BA99" s="4">
        <f t="shared" si="70"/>
        <v>240</v>
      </c>
      <c r="BK99" s="83" t="e">
        <f>$AG99*#REF!</f>
        <v>#REF!</v>
      </c>
      <c r="BL99" s="83" t="e">
        <f>$AG99*#REF!</f>
        <v>#REF!</v>
      </c>
      <c r="BM99" s="83" t="e">
        <f>$AG99*#REF!</f>
        <v>#REF!</v>
      </c>
      <c r="BN99" s="83" t="e">
        <f>$AG99*#REF!</f>
        <v>#REF!</v>
      </c>
      <c r="BO99" s="83" t="e">
        <f>$AG99*#REF!</f>
        <v>#REF!</v>
      </c>
      <c r="BP99" s="83" t="e">
        <f>$AG99*#REF!</f>
        <v>#REF!</v>
      </c>
      <c r="BQ99" s="83" t="e">
        <f>$AG99*#REF!</f>
        <v>#REF!</v>
      </c>
      <c r="BR99" s="83" t="e">
        <f>$AG99*#REF!</f>
        <v>#REF!</v>
      </c>
      <c r="BS99" s="83" t="e">
        <f>$AG99*#REF!</f>
        <v>#REF!</v>
      </c>
      <c r="BT99" s="83" t="e">
        <f>$AG99*#REF!</f>
        <v>#REF!</v>
      </c>
      <c r="BU99" s="83" t="e">
        <f>$AG99*#REF!</f>
        <v>#REF!</v>
      </c>
      <c r="BV99" s="83" t="e">
        <f>$AG99*#REF!</f>
        <v>#REF!</v>
      </c>
      <c r="BW99" s="83" t="e">
        <f>$AG99*#REF!</f>
        <v>#REF!</v>
      </c>
      <c r="BX99" s="83" t="e">
        <f>$AG99*#REF!</f>
        <v>#REF!</v>
      </c>
      <c r="BY99" s="83" t="e">
        <f>$AG99*#REF!</f>
        <v>#REF!</v>
      </c>
      <c r="BZ99" s="83" t="e">
        <f>$AG99*#REF!</f>
        <v>#REF!</v>
      </c>
      <c r="CA99" s="83" t="e">
        <f>$AG99*#REF!</f>
        <v>#REF!</v>
      </c>
      <c r="CB99" s="83" t="e">
        <f>$AG99*#REF!</f>
        <v>#REF!</v>
      </c>
      <c r="CC99" s="83" t="e">
        <f>$AG99*#REF!</f>
        <v>#REF!</v>
      </c>
      <c r="CD99" s="83" t="e">
        <f>$AG99*#REF!</f>
        <v>#REF!</v>
      </c>
      <c r="CE99" s="83" t="e">
        <f>$AG99*#REF!</f>
        <v>#REF!</v>
      </c>
      <c r="CF99" s="83"/>
      <c r="CI99" s="4">
        <f t="shared" si="25"/>
        <v>0</v>
      </c>
      <c r="CL99" s="4">
        <f t="shared" si="29"/>
        <v>240</v>
      </c>
    </row>
    <row r="100" s="4" customFormat="1" ht="24" customHeight="1" spans="1:90">
      <c r="A100" s="24">
        <v>44676</v>
      </c>
      <c r="B100" s="25" t="s">
        <v>1186</v>
      </c>
      <c r="C100" s="26" t="s">
        <v>84</v>
      </c>
      <c r="D100" s="25">
        <v>45500077061</v>
      </c>
      <c r="E100" s="26">
        <v>4231912845</v>
      </c>
      <c r="F100" s="27" t="s">
        <v>3447</v>
      </c>
      <c r="G100" s="37"/>
      <c r="H100" s="38" t="s">
        <v>3448</v>
      </c>
      <c r="I100" s="26">
        <v>3240</v>
      </c>
      <c r="J100" s="26">
        <v>0</v>
      </c>
      <c r="K100" s="26">
        <v>18</v>
      </c>
      <c r="L100" s="49">
        <f t="shared" si="39"/>
        <v>180</v>
      </c>
      <c r="M100" s="31">
        <v>44720</v>
      </c>
      <c r="N100" s="32" t="s">
        <v>3457</v>
      </c>
      <c r="O100" s="50"/>
      <c r="P100" s="50"/>
      <c r="Q100" s="26"/>
      <c r="R100" s="66" t="s">
        <v>3496</v>
      </c>
      <c r="S100" s="66" t="s">
        <v>48</v>
      </c>
      <c r="T100" s="66" t="s">
        <v>49</v>
      </c>
      <c r="U100" s="73" t="s">
        <v>3503</v>
      </c>
      <c r="V100" s="31" t="s">
        <v>3417</v>
      </c>
      <c r="W100" s="69">
        <v>1.9756</v>
      </c>
      <c r="X100" s="68">
        <f t="shared" si="71"/>
        <v>6400.944</v>
      </c>
      <c r="Y100" s="26"/>
      <c r="Z100" s="26"/>
      <c r="AA100" s="26"/>
      <c r="AB100" s="26"/>
      <c r="AC100" s="26"/>
      <c r="AD100" s="36"/>
      <c r="AE100" s="26"/>
      <c r="AF100" s="66"/>
      <c r="AG100" s="4">
        <f t="shared" si="67"/>
        <v>3240</v>
      </c>
      <c r="AM100" s="4">
        <f t="shared" si="68"/>
        <v>3240</v>
      </c>
      <c r="AN100" s="4">
        <f t="shared" si="69"/>
        <v>3240</v>
      </c>
      <c r="BA100" s="4">
        <f t="shared" si="70"/>
        <v>180</v>
      </c>
      <c r="BK100" s="83" t="e">
        <f>$AG100*#REF!</f>
        <v>#REF!</v>
      </c>
      <c r="BL100" s="83" t="e">
        <f>$AG100*#REF!</f>
        <v>#REF!</v>
      </c>
      <c r="BM100" s="83" t="e">
        <f>$AG100*#REF!</f>
        <v>#REF!</v>
      </c>
      <c r="BN100" s="83" t="e">
        <f>$AG100*#REF!</f>
        <v>#REF!</v>
      </c>
      <c r="BO100" s="83" t="e">
        <f>$AG100*#REF!</f>
        <v>#REF!</v>
      </c>
      <c r="BP100" s="83" t="e">
        <f>$AG100*#REF!</f>
        <v>#REF!</v>
      </c>
      <c r="BQ100" s="83" t="e">
        <f>$AG100*#REF!</f>
        <v>#REF!</v>
      </c>
      <c r="BR100" s="83" t="e">
        <f>$AG100*#REF!</f>
        <v>#REF!</v>
      </c>
      <c r="BS100" s="83" t="e">
        <f>$AG100*#REF!</f>
        <v>#REF!</v>
      </c>
      <c r="BT100" s="83" t="e">
        <f>$AG100*#REF!</f>
        <v>#REF!</v>
      </c>
      <c r="BU100" s="83" t="e">
        <f>$AG100*#REF!</f>
        <v>#REF!</v>
      </c>
      <c r="BV100" s="83" t="e">
        <f>$AG100*#REF!</f>
        <v>#REF!</v>
      </c>
      <c r="BW100" s="83" t="e">
        <f>$AG100*#REF!</f>
        <v>#REF!</v>
      </c>
      <c r="BX100" s="83" t="e">
        <f>$AG100*#REF!</f>
        <v>#REF!</v>
      </c>
      <c r="BY100" s="83" t="e">
        <f>$AG100*#REF!</f>
        <v>#REF!</v>
      </c>
      <c r="BZ100" s="83" t="e">
        <f>$AG100*#REF!</f>
        <v>#REF!</v>
      </c>
      <c r="CA100" s="83" t="e">
        <f>$AG100*#REF!</f>
        <v>#REF!</v>
      </c>
      <c r="CB100" s="83" t="e">
        <f>$AG100*#REF!</f>
        <v>#REF!</v>
      </c>
      <c r="CC100" s="83" t="e">
        <f>$AG100*#REF!</f>
        <v>#REF!</v>
      </c>
      <c r="CD100" s="83" t="e">
        <f>$AG100*#REF!</f>
        <v>#REF!</v>
      </c>
      <c r="CE100" s="83" t="e">
        <f>$AG100*#REF!</f>
        <v>#REF!</v>
      </c>
      <c r="CF100" s="83"/>
      <c r="CI100" s="4">
        <f t="shared" si="25"/>
        <v>0</v>
      </c>
      <c r="CL100" s="4">
        <f t="shared" si="29"/>
        <v>180</v>
      </c>
    </row>
    <row r="101" s="4" customFormat="1" ht="24" customHeight="1" spans="1:90">
      <c r="A101" s="24">
        <v>44676</v>
      </c>
      <c r="B101" s="25" t="s">
        <v>1186</v>
      </c>
      <c r="C101" s="26" t="s">
        <v>84</v>
      </c>
      <c r="D101" s="25">
        <v>45500077061</v>
      </c>
      <c r="E101" s="26">
        <v>4231912846</v>
      </c>
      <c r="F101" s="27" t="s">
        <v>3447</v>
      </c>
      <c r="G101" s="37"/>
      <c r="H101" s="38" t="s">
        <v>3448</v>
      </c>
      <c r="I101" s="26">
        <v>2160</v>
      </c>
      <c r="J101" s="26">
        <v>0</v>
      </c>
      <c r="K101" s="26">
        <v>18</v>
      </c>
      <c r="L101" s="49">
        <f t="shared" si="39"/>
        <v>120</v>
      </c>
      <c r="M101" s="31">
        <v>44720</v>
      </c>
      <c r="N101" s="32" t="s">
        <v>3457</v>
      </c>
      <c r="O101" s="50"/>
      <c r="P101" s="50"/>
      <c r="Q101" s="26"/>
      <c r="R101" s="66" t="s">
        <v>3496</v>
      </c>
      <c r="S101" s="66" t="s">
        <v>48</v>
      </c>
      <c r="T101" s="66" t="s">
        <v>49</v>
      </c>
      <c r="U101" s="73" t="s">
        <v>3503</v>
      </c>
      <c r="V101" s="31" t="s">
        <v>3417</v>
      </c>
      <c r="W101" s="69">
        <v>1.9756</v>
      </c>
      <c r="X101" s="68">
        <f t="shared" si="71"/>
        <v>4267.296</v>
      </c>
      <c r="Y101" s="26"/>
      <c r="Z101" s="26"/>
      <c r="AA101" s="26"/>
      <c r="AB101" s="26"/>
      <c r="AC101" s="26"/>
      <c r="AD101" s="36"/>
      <c r="AE101" s="26"/>
      <c r="AF101" s="66"/>
      <c r="AG101" s="4">
        <f t="shared" si="67"/>
        <v>2160</v>
      </c>
      <c r="AM101" s="4">
        <f t="shared" si="68"/>
        <v>2160</v>
      </c>
      <c r="AN101" s="4">
        <f t="shared" si="69"/>
        <v>2160</v>
      </c>
      <c r="BA101" s="4">
        <f t="shared" si="70"/>
        <v>120</v>
      </c>
      <c r="BK101" s="83" t="e">
        <f>$AG101*#REF!</f>
        <v>#REF!</v>
      </c>
      <c r="BL101" s="83" t="e">
        <f>$AG101*#REF!</f>
        <v>#REF!</v>
      </c>
      <c r="BM101" s="83" t="e">
        <f>$AG101*#REF!</f>
        <v>#REF!</v>
      </c>
      <c r="BN101" s="83" t="e">
        <f>$AG101*#REF!</f>
        <v>#REF!</v>
      </c>
      <c r="BO101" s="83" t="e">
        <f>$AG101*#REF!</f>
        <v>#REF!</v>
      </c>
      <c r="BP101" s="83" t="e">
        <f>$AG101*#REF!</f>
        <v>#REF!</v>
      </c>
      <c r="BQ101" s="83" t="e">
        <f>$AG101*#REF!</f>
        <v>#REF!</v>
      </c>
      <c r="BR101" s="83" t="e">
        <f>$AG101*#REF!</f>
        <v>#REF!</v>
      </c>
      <c r="BS101" s="83" t="e">
        <f>$AG101*#REF!</f>
        <v>#REF!</v>
      </c>
      <c r="BT101" s="83" t="e">
        <f>$AG101*#REF!</f>
        <v>#REF!</v>
      </c>
      <c r="BU101" s="83" t="e">
        <f>$AG101*#REF!</f>
        <v>#REF!</v>
      </c>
      <c r="BV101" s="83" t="e">
        <f>$AG101*#REF!</f>
        <v>#REF!</v>
      </c>
      <c r="BW101" s="83" t="e">
        <f>$AG101*#REF!</f>
        <v>#REF!</v>
      </c>
      <c r="BX101" s="83" t="e">
        <f>$AG101*#REF!</f>
        <v>#REF!</v>
      </c>
      <c r="BY101" s="83" t="e">
        <f>$AG101*#REF!</f>
        <v>#REF!</v>
      </c>
      <c r="BZ101" s="83" t="e">
        <f>$AG101*#REF!</f>
        <v>#REF!</v>
      </c>
      <c r="CA101" s="83" t="e">
        <f>$AG101*#REF!</f>
        <v>#REF!</v>
      </c>
      <c r="CB101" s="83" t="e">
        <f>$AG101*#REF!</f>
        <v>#REF!</v>
      </c>
      <c r="CC101" s="83" t="e">
        <f>$AG101*#REF!</f>
        <v>#REF!</v>
      </c>
      <c r="CD101" s="83" t="e">
        <f>$AG101*#REF!</f>
        <v>#REF!</v>
      </c>
      <c r="CE101" s="83" t="e">
        <f>$AG101*#REF!</f>
        <v>#REF!</v>
      </c>
      <c r="CF101" s="83"/>
      <c r="CI101" s="4">
        <f t="shared" si="25"/>
        <v>0</v>
      </c>
      <c r="CL101" s="4">
        <f t="shared" si="29"/>
        <v>120</v>
      </c>
    </row>
    <row r="102" s="4" customFormat="1" ht="24" customHeight="1" spans="1:90">
      <c r="A102" s="24">
        <v>44676</v>
      </c>
      <c r="B102" s="25" t="s">
        <v>1186</v>
      </c>
      <c r="C102" s="26" t="s">
        <v>84</v>
      </c>
      <c r="D102" s="25">
        <v>45500077061</v>
      </c>
      <c r="E102" s="26">
        <v>4231912847</v>
      </c>
      <c r="F102" s="27" t="s">
        <v>3447</v>
      </c>
      <c r="G102" s="37"/>
      <c r="H102" s="38" t="s">
        <v>3448</v>
      </c>
      <c r="I102" s="26">
        <v>2160</v>
      </c>
      <c r="J102" s="26">
        <v>0</v>
      </c>
      <c r="K102" s="26">
        <v>18</v>
      </c>
      <c r="L102" s="49">
        <f t="shared" si="39"/>
        <v>120</v>
      </c>
      <c r="M102" s="31">
        <v>44720</v>
      </c>
      <c r="N102" s="32" t="s">
        <v>3457</v>
      </c>
      <c r="O102" s="50"/>
      <c r="P102" s="50"/>
      <c r="Q102" s="26"/>
      <c r="R102" s="66" t="s">
        <v>3496</v>
      </c>
      <c r="S102" s="66" t="s">
        <v>48</v>
      </c>
      <c r="T102" s="66" t="s">
        <v>49</v>
      </c>
      <c r="U102" s="73" t="s">
        <v>3503</v>
      </c>
      <c r="V102" s="31" t="s">
        <v>3417</v>
      </c>
      <c r="W102" s="69">
        <v>1.9756</v>
      </c>
      <c r="X102" s="68">
        <f t="shared" si="71"/>
        <v>4267.296</v>
      </c>
      <c r="Y102" s="26"/>
      <c r="Z102" s="26"/>
      <c r="AA102" s="26"/>
      <c r="AB102" s="26"/>
      <c r="AC102" s="26"/>
      <c r="AD102" s="36"/>
      <c r="AE102" s="26"/>
      <c r="AF102" s="66"/>
      <c r="AG102" s="4">
        <f t="shared" si="67"/>
        <v>2160</v>
      </c>
      <c r="AM102" s="4">
        <f t="shared" si="68"/>
        <v>2160</v>
      </c>
      <c r="AN102" s="4">
        <f t="shared" si="69"/>
        <v>2160</v>
      </c>
      <c r="BA102" s="4">
        <f t="shared" si="70"/>
        <v>120</v>
      </c>
      <c r="BK102" s="83" t="e">
        <f>$AG102*#REF!</f>
        <v>#REF!</v>
      </c>
      <c r="BL102" s="83" t="e">
        <f>$AG102*#REF!</f>
        <v>#REF!</v>
      </c>
      <c r="BM102" s="83" t="e">
        <f>$AG102*#REF!</f>
        <v>#REF!</v>
      </c>
      <c r="BN102" s="83" t="e">
        <f>$AG102*#REF!</f>
        <v>#REF!</v>
      </c>
      <c r="BO102" s="83" t="e">
        <f>$AG102*#REF!</f>
        <v>#REF!</v>
      </c>
      <c r="BP102" s="83" t="e">
        <f>$AG102*#REF!</f>
        <v>#REF!</v>
      </c>
      <c r="BQ102" s="83" t="e">
        <f>$AG102*#REF!</f>
        <v>#REF!</v>
      </c>
      <c r="BR102" s="83" t="e">
        <f>$AG102*#REF!</f>
        <v>#REF!</v>
      </c>
      <c r="BS102" s="83" t="e">
        <f>$AG102*#REF!</f>
        <v>#REF!</v>
      </c>
      <c r="BT102" s="83" t="e">
        <f>$AG102*#REF!</f>
        <v>#REF!</v>
      </c>
      <c r="BU102" s="83" t="e">
        <f>$AG102*#REF!</f>
        <v>#REF!</v>
      </c>
      <c r="BV102" s="83" t="e">
        <f>$AG102*#REF!</f>
        <v>#REF!</v>
      </c>
      <c r="BW102" s="83" t="e">
        <f>$AG102*#REF!</f>
        <v>#REF!</v>
      </c>
      <c r="BX102" s="83" t="e">
        <f>$AG102*#REF!</f>
        <v>#REF!</v>
      </c>
      <c r="BY102" s="83" t="e">
        <f>$AG102*#REF!</f>
        <v>#REF!</v>
      </c>
      <c r="BZ102" s="83" t="e">
        <f>$AG102*#REF!</f>
        <v>#REF!</v>
      </c>
      <c r="CA102" s="83" t="e">
        <f>$AG102*#REF!</f>
        <v>#REF!</v>
      </c>
      <c r="CB102" s="83" t="e">
        <f>$AG102*#REF!</f>
        <v>#REF!</v>
      </c>
      <c r="CC102" s="83" t="e">
        <f>$AG102*#REF!</f>
        <v>#REF!</v>
      </c>
      <c r="CD102" s="83" t="e">
        <f>$AG102*#REF!</f>
        <v>#REF!</v>
      </c>
      <c r="CE102" s="83" t="e">
        <f>$AG102*#REF!</f>
        <v>#REF!</v>
      </c>
      <c r="CF102" s="83"/>
      <c r="CI102" s="4">
        <f t="shared" ref="CI102:CI109" si="72">AV102+AW102</f>
        <v>0</v>
      </c>
      <c r="CL102" s="4">
        <f t="shared" si="29"/>
        <v>120</v>
      </c>
    </row>
    <row r="103" s="4" customFormat="1" ht="24" customHeight="1" spans="1:90">
      <c r="A103" s="24">
        <v>44610</v>
      </c>
      <c r="B103" s="25" t="s">
        <v>3442</v>
      </c>
      <c r="C103" s="26" t="s">
        <v>600</v>
      </c>
      <c r="D103" s="4">
        <v>4500070946</v>
      </c>
      <c r="E103" s="33">
        <v>4500845199</v>
      </c>
      <c r="F103" s="31" t="s">
        <v>3436</v>
      </c>
      <c r="G103" s="31"/>
      <c r="H103" s="26" t="s">
        <v>3437</v>
      </c>
      <c r="I103" s="26">
        <v>1980</v>
      </c>
      <c r="J103" s="26">
        <v>0</v>
      </c>
      <c r="K103" s="26">
        <v>36</v>
      </c>
      <c r="L103" s="49">
        <f t="shared" si="39"/>
        <v>55</v>
      </c>
      <c r="M103" s="31" t="s">
        <v>3504</v>
      </c>
      <c r="N103" s="31" t="s">
        <v>3505</v>
      </c>
      <c r="O103" s="50"/>
      <c r="P103" s="50"/>
      <c r="Q103" s="26"/>
      <c r="R103" s="66">
        <v>44676</v>
      </c>
      <c r="S103" s="66" t="s">
        <v>58</v>
      </c>
      <c r="T103" s="66">
        <v>44672</v>
      </c>
      <c r="U103" s="25" t="s">
        <v>3506</v>
      </c>
      <c r="V103" s="31" t="s">
        <v>895</v>
      </c>
      <c r="W103" s="67">
        <v>2.0315</v>
      </c>
      <c r="X103" s="68">
        <f t="shared" si="71"/>
        <v>4022.37</v>
      </c>
      <c r="Y103" s="26"/>
      <c r="Z103" s="26"/>
      <c r="AA103" s="26" t="s">
        <v>3507</v>
      </c>
      <c r="AB103" s="26">
        <v>1980</v>
      </c>
      <c r="AC103" s="26">
        <f>AB103-I103</f>
        <v>0</v>
      </c>
      <c r="AD103" s="26" t="s">
        <v>55</v>
      </c>
      <c r="AE103" s="26"/>
      <c r="AF103" s="66"/>
      <c r="AG103" s="4">
        <f t="shared" si="67"/>
        <v>1980</v>
      </c>
      <c r="AQ103" s="4">
        <f>I103</f>
        <v>1980</v>
      </c>
      <c r="AR103" s="4">
        <f>I103</f>
        <v>1980</v>
      </c>
      <c r="BC103" s="4">
        <f>I103/18</f>
        <v>110</v>
      </c>
      <c r="BK103" s="83">
        <f t="shared" ref="BK103:CE103" si="73">$AG103*BK$1</f>
        <v>0</v>
      </c>
      <c r="BL103" s="83">
        <f t="shared" si="73"/>
        <v>0</v>
      </c>
      <c r="BM103" s="83">
        <f t="shared" si="73"/>
        <v>0</v>
      </c>
      <c r="BN103" s="83">
        <f t="shared" si="73"/>
        <v>0</v>
      </c>
      <c r="BO103" s="83">
        <f t="shared" si="73"/>
        <v>0</v>
      </c>
      <c r="BP103" s="83">
        <f t="shared" si="73"/>
        <v>0</v>
      </c>
      <c r="BQ103" s="83">
        <f t="shared" si="73"/>
        <v>0</v>
      </c>
      <c r="BR103" s="83">
        <f t="shared" si="73"/>
        <v>0</v>
      </c>
      <c r="BS103" s="83">
        <f t="shared" si="73"/>
        <v>0</v>
      </c>
      <c r="BT103" s="83">
        <f t="shared" si="73"/>
        <v>0</v>
      </c>
      <c r="BU103" s="83">
        <f t="shared" si="73"/>
        <v>0</v>
      </c>
      <c r="BV103" s="83">
        <f t="shared" si="73"/>
        <v>0</v>
      </c>
      <c r="BW103" s="83">
        <f t="shared" si="73"/>
        <v>0</v>
      </c>
      <c r="BX103" s="83">
        <f t="shared" si="73"/>
        <v>0</v>
      </c>
      <c r="BY103" s="83">
        <f t="shared" si="73"/>
        <v>0</v>
      </c>
      <c r="BZ103" s="83">
        <f t="shared" si="73"/>
        <v>0</v>
      </c>
      <c r="CA103" s="83">
        <f t="shared" si="73"/>
        <v>0</v>
      </c>
      <c r="CB103" s="83">
        <f t="shared" si="73"/>
        <v>0</v>
      </c>
      <c r="CC103" s="83">
        <f t="shared" si="73"/>
        <v>0</v>
      </c>
      <c r="CD103" s="83">
        <f t="shared" si="73"/>
        <v>0</v>
      </c>
      <c r="CE103" s="83">
        <f t="shared" si="73"/>
        <v>0</v>
      </c>
      <c r="CF103" s="83"/>
      <c r="CI103" s="4">
        <f t="shared" si="72"/>
        <v>0</v>
      </c>
      <c r="CL103" s="4">
        <f>AZ103+BC103+BD103+BE103+BA103</f>
        <v>110</v>
      </c>
    </row>
    <row r="104" s="4" customFormat="1" ht="24" customHeight="1" spans="1:90">
      <c r="A104" s="24">
        <v>44607</v>
      </c>
      <c r="B104" s="25" t="s">
        <v>3508</v>
      </c>
      <c r="C104" s="26" t="s">
        <v>1470</v>
      </c>
      <c r="D104" s="4">
        <v>4500070656</v>
      </c>
      <c r="E104" s="26"/>
      <c r="F104" s="27" t="s">
        <v>3436</v>
      </c>
      <c r="G104" s="27"/>
      <c r="H104" s="26" t="s">
        <v>3437</v>
      </c>
      <c r="I104" s="26">
        <v>504</v>
      </c>
      <c r="J104" s="26">
        <v>0</v>
      </c>
      <c r="K104" s="26">
        <v>36</v>
      </c>
      <c r="L104" s="49">
        <f t="shared" si="39"/>
        <v>14</v>
      </c>
      <c r="M104" s="31">
        <v>44652</v>
      </c>
      <c r="N104" s="53" t="s">
        <v>3509</v>
      </c>
      <c r="O104" s="50"/>
      <c r="P104" s="50"/>
      <c r="Q104" s="26"/>
      <c r="R104" s="66">
        <v>44609</v>
      </c>
      <c r="S104" s="66" t="s">
        <v>58</v>
      </c>
      <c r="T104" s="66" t="s">
        <v>58</v>
      </c>
      <c r="U104" s="73" t="s">
        <v>3510</v>
      </c>
      <c r="V104" s="31" t="s">
        <v>3441</v>
      </c>
      <c r="W104" s="67">
        <v>2.0713</v>
      </c>
      <c r="X104" s="68">
        <f t="shared" si="71"/>
        <v>1043.9352</v>
      </c>
      <c r="Y104" s="26"/>
      <c r="Z104" s="26"/>
      <c r="AA104" s="26" t="s">
        <v>3434</v>
      </c>
      <c r="AB104" s="26"/>
      <c r="AC104" s="26">
        <f>AB104-I104</f>
        <v>-504</v>
      </c>
      <c r="AD104" s="36" t="s">
        <v>58</v>
      </c>
      <c r="AE104" s="26"/>
      <c r="AF104" s="66"/>
      <c r="AG104" s="4">
        <f t="shared" si="67"/>
        <v>504</v>
      </c>
      <c r="AK104" s="4">
        <f>I104</f>
        <v>504</v>
      </c>
      <c r="AL104" s="4">
        <f>I104</f>
        <v>504</v>
      </c>
      <c r="AZ104" s="4">
        <f>I104/18</f>
        <v>28</v>
      </c>
      <c r="BK104" s="83">
        <f t="shared" ref="BK104:CE104" si="74">$AG104*BK$1</f>
        <v>0</v>
      </c>
      <c r="BL104" s="83">
        <f t="shared" si="74"/>
        <v>0</v>
      </c>
      <c r="BM104" s="83">
        <f t="shared" si="74"/>
        <v>0</v>
      </c>
      <c r="BN104" s="83">
        <f t="shared" si="74"/>
        <v>0</v>
      </c>
      <c r="BO104" s="83">
        <f t="shared" si="74"/>
        <v>0</v>
      </c>
      <c r="BP104" s="83">
        <f t="shared" si="74"/>
        <v>0</v>
      </c>
      <c r="BQ104" s="83">
        <f t="shared" si="74"/>
        <v>0</v>
      </c>
      <c r="BR104" s="83">
        <f t="shared" si="74"/>
        <v>0</v>
      </c>
      <c r="BS104" s="83">
        <f t="shared" si="74"/>
        <v>0</v>
      </c>
      <c r="BT104" s="83">
        <f t="shared" si="74"/>
        <v>0</v>
      </c>
      <c r="BU104" s="83">
        <f t="shared" si="74"/>
        <v>0</v>
      </c>
      <c r="BV104" s="83">
        <f t="shared" si="74"/>
        <v>0</v>
      </c>
      <c r="BW104" s="83">
        <f t="shared" si="74"/>
        <v>0</v>
      </c>
      <c r="BX104" s="83">
        <f t="shared" si="74"/>
        <v>0</v>
      </c>
      <c r="BY104" s="83">
        <f t="shared" si="74"/>
        <v>0</v>
      </c>
      <c r="BZ104" s="83">
        <f t="shared" si="74"/>
        <v>0</v>
      </c>
      <c r="CA104" s="83">
        <f t="shared" si="74"/>
        <v>0</v>
      </c>
      <c r="CB104" s="83">
        <f t="shared" si="74"/>
        <v>0</v>
      </c>
      <c r="CC104" s="83">
        <f t="shared" si="74"/>
        <v>0</v>
      </c>
      <c r="CD104" s="83">
        <f t="shared" si="74"/>
        <v>0</v>
      </c>
      <c r="CE104" s="83">
        <f t="shared" si="74"/>
        <v>0</v>
      </c>
      <c r="CF104" s="83"/>
      <c r="CI104" s="4">
        <f t="shared" si="72"/>
        <v>0</v>
      </c>
      <c r="CL104" s="4">
        <f>AZ104+BB104+BD104+BE104+BA104</f>
        <v>28</v>
      </c>
    </row>
    <row r="105" s="5" customFormat="1" ht="24" customHeight="1" spans="1:90">
      <c r="A105" s="24">
        <v>44707</v>
      </c>
      <c r="B105" s="25" t="s">
        <v>83</v>
      </c>
      <c r="C105" s="26" t="s">
        <v>84</v>
      </c>
      <c r="D105" s="4">
        <v>4500079790</v>
      </c>
      <c r="E105" s="26">
        <v>5200000843</v>
      </c>
      <c r="F105" s="32" t="s">
        <v>3511</v>
      </c>
      <c r="G105" s="32"/>
      <c r="H105" s="26" t="s">
        <v>3512</v>
      </c>
      <c r="I105" s="36">
        <v>9264</v>
      </c>
      <c r="J105" s="26">
        <v>0</v>
      </c>
      <c r="K105" s="26">
        <v>16</v>
      </c>
      <c r="L105" s="49">
        <f t="shared" si="39"/>
        <v>579</v>
      </c>
      <c r="M105" s="31" t="s">
        <v>3513</v>
      </c>
      <c r="N105" s="32" t="s">
        <v>3514</v>
      </c>
      <c r="O105" s="52"/>
      <c r="P105" s="52"/>
      <c r="Q105" s="36"/>
      <c r="R105" s="66">
        <v>44711</v>
      </c>
      <c r="S105" s="66" t="s">
        <v>58</v>
      </c>
      <c r="T105" s="66" t="s">
        <v>58</v>
      </c>
      <c r="U105" s="35" t="s">
        <v>3515</v>
      </c>
      <c r="V105" s="32" t="s">
        <v>3516</v>
      </c>
      <c r="W105" s="69">
        <v>4.272</v>
      </c>
      <c r="X105" s="68">
        <f t="shared" si="71"/>
        <v>39575.808</v>
      </c>
      <c r="Y105" s="36"/>
      <c r="Z105" s="36"/>
      <c r="AA105" s="26" t="s">
        <v>3434</v>
      </c>
      <c r="AB105" s="36"/>
      <c r="AC105" s="36"/>
      <c r="AD105" s="36" t="s">
        <v>58</v>
      </c>
      <c r="AE105" s="36"/>
      <c r="AF105" s="72"/>
      <c r="AG105" s="4">
        <f t="shared" ref="AG105:AG109" si="75">I105*2</f>
        <v>18528</v>
      </c>
      <c r="AM105" s="5">
        <f t="shared" ref="AM105:AM109" si="76">I105*2</f>
        <v>18528</v>
      </c>
      <c r="AN105" s="5">
        <f t="shared" ref="AN105:AN109" si="77">I105*2</f>
        <v>18528</v>
      </c>
      <c r="BB105" s="4"/>
      <c r="BK105" s="83">
        <f t="shared" ref="BK105:CE105" si="78">$AG105*BK$1</f>
        <v>0</v>
      </c>
      <c r="BL105" s="83">
        <f t="shared" si="78"/>
        <v>0</v>
      </c>
      <c r="BM105" s="83">
        <f t="shared" si="78"/>
        <v>0</v>
      </c>
      <c r="BN105" s="83">
        <f t="shared" si="78"/>
        <v>0</v>
      </c>
      <c r="BO105" s="83">
        <f t="shared" si="78"/>
        <v>0</v>
      </c>
      <c r="BP105" s="83">
        <f t="shared" si="78"/>
        <v>0</v>
      </c>
      <c r="BQ105" s="83">
        <f t="shared" si="78"/>
        <v>0</v>
      </c>
      <c r="BR105" s="83">
        <f t="shared" si="78"/>
        <v>0</v>
      </c>
      <c r="BS105" s="83">
        <f t="shared" si="78"/>
        <v>0</v>
      </c>
      <c r="BT105" s="83">
        <f t="shared" si="78"/>
        <v>0</v>
      </c>
      <c r="BU105" s="83">
        <f t="shared" si="78"/>
        <v>0</v>
      </c>
      <c r="BV105" s="83">
        <f t="shared" si="78"/>
        <v>0</v>
      </c>
      <c r="BW105" s="83">
        <f t="shared" si="78"/>
        <v>0</v>
      </c>
      <c r="BX105" s="83">
        <f t="shared" si="78"/>
        <v>0</v>
      </c>
      <c r="BY105" s="83">
        <f t="shared" si="78"/>
        <v>0</v>
      </c>
      <c r="BZ105" s="83">
        <f t="shared" si="78"/>
        <v>0</v>
      </c>
      <c r="CA105" s="83">
        <f t="shared" si="78"/>
        <v>0</v>
      </c>
      <c r="CB105" s="83">
        <f t="shared" si="78"/>
        <v>0</v>
      </c>
      <c r="CC105" s="83">
        <f t="shared" si="78"/>
        <v>0</v>
      </c>
      <c r="CD105" s="83">
        <f t="shared" si="78"/>
        <v>0</v>
      </c>
      <c r="CE105" s="83">
        <f t="shared" si="78"/>
        <v>0</v>
      </c>
      <c r="CF105" s="83"/>
      <c r="CG105" s="4"/>
      <c r="CH105" s="4"/>
      <c r="CI105" s="4">
        <f t="shared" si="72"/>
        <v>0</v>
      </c>
      <c r="CJ105" s="4"/>
      <c r="CK105" s="4"/>
      <c r="CL105" s="4">
        <f t="shared" ref="CL105:CL109" si="79">AZ105+BB105+BD105+BE105+BA105+BC105</f>
        <v>0</v>
      </c>
    </row>
    <row r="106" s="5" customFormat="1" ht="24" customHeight="1" spans="1:90">
      <c r="A106" s="34">
        <v>44728</v>
      </c>
      <c r="B106" s="35" t="s">
        <v>83</v>
      </c>
      <c r="C106" s="26" t="s">
        <v>84</v>
      </c>
      <c r="D106" s="5">
        <v>4500081140</v>
      </c>
      <c r="E106" s="36">
        <v>5200000898</v>
      </c>
      <c r="F106" s="31" t="s">
        <v>3511</v>
      </c>
      <c r="G106" s="31"/>
      <c r="H106" s="26" t="s">
        <v>3512</v>
      </c>
      <c r="I106" s="26">
        <v>2304</v>
      </c>
      <c r="J106" s="26">
        <v>0</v>
      </c>
      <c r="K106" s="26">
        <v>16</v>
      </c>
      <c r="L106" s="49">
        <f t="shared" si="39"/>
        <v>144</v>
      </c>
      <c r="M106" s="32">
        <v>44774</v>
      </c>
      <c r="N106" s="32" t="s">
        <v>3517</v>
      </c>
      <c r="O106" s="52"/>
      <c r="P106" s="52"/>
      <c r="Q106" s="36"/>
      <c r="R106" s="72" t="s">
        <v>49</v>
      </c>
      <c r="S106" s="72" t="s">
        <v>58</v>
      </c>
      <c r="T106" s="72" t="s">
        <v>58</v>
      </c>
      <c r="U106" s="25" t="s">
        <v>3518</v>
      </c>
      <c r="V106" s="32" t="s">
        <v>3516</v>
      </c>
      <c r="W106" s="69">
        <v>4.2976</v>
      </c>
      <c r="X106" s="68">
        <f t="shared" si="71"/>
        <v>9901.6704</v>
      </c>
      <c r="Y106" s="36"/>
      <c r="Z106" s="36"/>
      <c r="AA106" s="26" t="s">
        <v>3434</v>
      </c>
      <c r="AB106" s="36"/>
      <c r="AC106" s="36"/>
      <c r="AD106" s="36"/>
      <c r="AE106" s="36"/>
      <c r="AF106" s="72"/>
      <c r="AG106" s="4">
        <f t="shared" si="75"/>
        <v>4608</v>
      </c>
      <c r="AM106" s="4">
        <f t="shared" si="76"/>
        <v>4608</v>
      </c>
      <c r="AN106" s="4">
        <f t="shared" si="77"/>
        <v>4608</v>
      </c>
      <c r="AZ106" s="4"/>
      <c r="BK106" s="83" t="e">
        <f>$AG106*#REF!</f>
        <v>#REF!</v>
      </c>
      <c r="BL106" s="83" t="e">
        <f>$AG106*#REF!</f>
        <v>#REF!</v>
      </c>
      <c r="BM106" s="83" t="e">
        <f>$AG106*#REF!</f>
        <v>#REF!</v>
      </c>
      <c r="BN106" s="83" t="e">
        <f>$AG106*#REF!</f>
        <v>#REF!</v>
      </c>
      <c r="BO106" s="83" t="e">
        <f>$AG106*#REF!</f>
        <v>#REF!</v>
      </c>
      <c r="BP106" s="83" t="e">
        <f>$AG106*#REF!</f>
        <v>#REF!</v>
      </c>
      <c r="BQ106" s="83" t="e">
        <f>$AG106*#REF!</f>
        <v>#REF!</v>
      </c>
      <c r="BR106" s="83" t="e">
        <f>$AG106*#REF!</f>
        <v>#REF!</v>
      </c>
      <c r="BS106" s="83" t="e">
        <f>$AG106*#REF!</f>
        <v>#REF!</v>
      </c>
      <c r="BT106" s="83" t="e">
        <f>$AG106*#REF!</f>
        <v>#REF!</v>
      </c>
      <c r="BU106" s="83" t="e">
        <f>$AG106*#REF!</f>
        <v>#REF!</v>
      </c>
      <c r="BV106" s="83" t="e">
        <f>$AG106*#REF!</f>
        <v>#REF!</v>
      </c>
      <c r="BW106" s="83" t="e">
        <f>$AG106*#REF!</f>
        <v>#REF!</v>
      </c>
      <c r="BX106" s="83" t="e">
        <f>$AG106*#REF!</f>
        <v>#REF!</v>
      </c>
      <c r="BY106" s="83" t="e">
        <f>$AG106*#REF!</f>
        <v>#REF!</v>
      </c>
      <c r="BZ106" s="83" t="e">
        <f>$AG106*#REF!</f>
        <v>#REF!</v>
      </c>
      <c r="CA106" s="83" t="e">
        <f>$AG106*#REF!</f>
        <v>#REF!</v>
      </c>
      <c r="CB106" s="83" t="e">
        <f>$AG106*#REF!</f>
        <v>#REF!</v>
      </c>
      <c r="CC106" s="83" t="e">
        <f>$AG106*#REF!</f>
        <v>#REF!</v>
      </c>
      <c r="CD106" s="83" t="e">
        <f>$AG106*#REF!</f>
        <v>#REF!</v>
      </c>
      <c r="CE106" s="83" t="e">
        <f>$AG106*#REF!</f>
        <v>#REF!</v>
      </c>
      <c r="CF106" s="83"/>
      <c r="CG106" s="4"/>
      <c r="CH106" s="4"/>
      <c r="CI106" s="4">
        <f t="shared" si="72"/>
        <v>0</v>
      </c>
      <c r="CJ106" s="4"/>
      <c r="CK106" s="4"/>
      <c r="CL106" s="4">
        <f t="shared" si="79"/>
        <v>0</v>
      </c>
    </row>
    <row r="107" s="5" customFormat="1" ht="24" customHeight="1" spans="1:90">
      <c r="A107" s="34">
        <v>44726</v>
      </c>
      <c r="B107" s="35" t="s">
        <v>162</v>
      </c>
      <c r="C107" s="26" t="s">
        <v>84</v>
      </c>
      <c r="D107" s="5">
        <v>4500077600</v>
      </c>
      <c r="E107" s="36" t="s">
        <v>3519</v>
      </c>
      <c r="F107" s="31" t="s">
        <v>3447</v>
      </c>
      <c r="G107" s="31"/>
      <c r="H107" s="26" t="s">
        <v>3448</v>
      </c>
      <c r="I107" s="26">
        <v>39996</v>
      </c>
      <c r="J107" s="26">
        <v>0</v>
      </c>
      <c r="K107" s="26">
        <v>18</v>
      </c>
      <c r="L107" s="49">
        <f t="shared" si="39"/>
        <v>2222</v>
      </c>
      <c r="M107" s="32">
        <v>44781</v>
      </c>
      <c r="N107" s="32" t="s">
        <v>3520</v>
      </c>
      <c r="O107" s="52"/>
      <c r="P107" s="52"/>
      <c r="Q107" s="36"/>
      <c r="R107" s="72">
        <v>44747</v>
      </c>
      <c r="S107" s="72" t="s">
        <v>48</v>
      </c>
      <c r="T107" s="72">
        <v>44749</v>
      </c>
      <c r="U107" s="25" t="s">
        <v>3521</v>
      </c>
      <c r="V107" s="32" t="s">
        <v>3522</v>
      </c>
      <c r="W107" s="69">
        <v>1.9756</v>
      </c>
      <c r="X107" s="68">
        <f t="shared" si="71"/>
        <v>79016.0976</v>
      </c>
      <c r="Y107" s="36"/>
      <c r="Z107" s="36"/>
      <c r="AA107" s="85" t="s">
        <v>3434</v>
      </c>
      <c r="AB107" s="36"/>
      <c r="AC107" s="36"/>
      <c r="AD107" s="36" t="s">
        <v>55</v>
      </c>
      <c r="AE107" s="36"/>
      <c r="AF107" s="72"/>
      <c r="AG107" s="4">
        <f t="shared" ref="AG107:AG112" si="80">I107</f>
        <v>39996</v>
      </c>
      <c r="AM107" s="4">
        <f>I107</f>
        <v>39996</v>
      </c>
      <c r="AN107" s="4">
        <f>I107</f>
        <v>39996</v>
      </c>
      <c r="BA107" s="4">
        <f>I107/18</f>
        <v>2222</v>
      </c>
      <c r="BK107" s="83">
        <f t="shared" ref="BK107:CE107" si="81">$AG107*BK$1</f>
        <v>0</v>
      </c>
      <c r="BL107" s="83">
        <f t="shared" si="81"/>
        <v>0</v>
      </c>
      <c r="BM107" s="83">
        <f t="shared" si="81"/>
        <v>0</v>
      </c>
      <c r="BN107" s="83">
        <f t="shared" si="81"/>
        <v>0</v>
      </c>
      <c r="BO107" s="83">
        <f t="shared" si="81"/>
        <v>0</v>
      </c>
      <c r="BP107" s="83">
        <f t="shared" si="81"/>
        <v>0</v>
      </c>
      <c r="BQ107" s="83">
        <f t="shared" si="81"/>
        <v>0</v>
      </c>
      <c r="BR107" s="83">
        <f t="shared" si="81"/>
        <v>0</v>
      </c>
      <c r="BS107" s="83">
        <f t="shared" si="81"/>
        <v>0</v>
      </c>
      <c r="BT107" s="83">
        <f t="shared" si="81"/>
        <v>0</v>
      </c>
      <c r="BU107" s="83">
        <f t="shared" si="81"/>
        <v>0</v>
      </c>
      <c r="BV107" s="83">
        <f t="shared" si="81"/>
        <v>0</v>
      </c>
      <c r="BW107" s="83">
        <f t="shared" si="81"/>
        <v>0</v>
      </c>
      <c r="BX107" s="83">
        <f t="shared" si="81"/>
        <v>0</v>
      </c>
      <c r="BY107" s="83">
        <f t="shared" si="81"/>
        <v>0</v>
      </c>
      <c r="BZ107" s="83">
        <f t="shared" si="81"/>
        <v>0</v>
      </c>
      <c r="CA107" s="83">
        <f t="shared" si="81"/>
        <v>0</v>
      </c>
      <c r="CB107" s="83">
        <f t="shared" si="81"/>
        <v>0</v>
      </c>
      <c r="CC107" s="83">
        <f t="shared" si="81"/>
        <v>0</v>
      </c>
      <c r="CD107" s="83">
        <f t="shared" si="81"/>
        <v>0</v>
      </c>
      <c r="CE107" s="83">
        <f t="shared" si="81"/>
        <v>0</v>
      </c>
      <c r="CF107" s="83"/>
      <c r="CG107" s="4"/>
      <c r="CH107" s="4"/>
      <c r="CI107" s="4">
        <f t="shared" si="72"/>
        <v>0</v>
      </c>
      <c r="CJ107" s="4"/>
      <c r="CK107" s="4"/>
      <c r="CL107" s="4">
        <f t="shared" si="79"/>
        <v>2222</v>
      </c>
    </row>
    <row r="108" s="5" customFormat="1" ht="24" customHeight="1" spans="1:90">
      <c r="A108" s="34">
        <v>44726</v>
      </c>
      <c r="B108" s="35" t="s">
        <v>162</v>
      </c>
      <c r="C108" s="26" t="s">
        <v>84</v>
      </c>
      <c r="D108" s="5">
        <v>4500077601</v>
      </c>
      <c r="E108" s="36" t="s">
        <v>3523</v>
      </c>
      <c r="F108" s="31" t="s">
        <v>3447</v>
      </c>
      <c r="G108" s="31"/>
      <c r="H108" s="26" t="s">
        <v>3448</v>
      </c>
      <c r="I108" s="26">
        <v>25884</v>
      </c>
      <c r="J108" s="26">
        <v>0</v>
      </c>
      <c r="K108" s="26">
        <v>18</v>
      </c>
      <c r="L108" s="49">
        <f t="shared" si="39"/>
        <v>1438</v>
      </c>
      <c r="M108" s="32">
        <v>44782</v>
      </c>
      <c r="N108" s="32" t="s">
        <v>3520</v>
      </c>
      <c r="O108" s="52"/>
      <c r="P108" s="52"/>
      <c r="Q108" s="36"/>
      <c r="R108" s="72">
        <v>44747</v>
      </c>
      <c r="S108" s="72" t="s">
        <v>48</v>
      </c>
      <c r="T108" s="72" t="s">
        <v>49</v>
      </c>
      <c r="U108" s="25" t="s">
        <v>3521</v>
      </c>
      <c r="V108" s="32" t="s">
        <v>3522</v>
      </c>
      <c r="W108" s="69">
        <v>1.9756</v>
      </c>
      <c r="X108" s="68">
        <f t="shared" si="71"/>
        <v>51136.4304</v>
      </c>
      <c r="Y108" s="36"/>
      <c r="Z108" s="36"/>
      <c r="AA108" s="85" t="s">
        <v>3434</v>
      </c>
      <c r="AB108" s="36"/>
      <c r="AC108" s="36"/>
      <c r="AD108" s="36" t="s">
        <v>55</v>
      </c>
      <c r="AE108" s="36"/>
      <c r="AF108" s="72"/>
      <c r="AG108" s="4">
        <f t="shared" si="80"/>
        <v>25884</v>
      </c>
      <c r="AM108" s="4">
        <f>I108</f>
        <v>25884</v>
      </c>
      <c r="AN108" s="4">
        <f>I108</f>
        <v>25884</v>
      </c>
      <c r="AZ108" s="4">
        <f>I108/18</f>
        <v>1438</v>
      </c>
      <c r="BK108" s="83">
        <f t="shared" ref="BK108:CE108" si="82">$AG108*BK$1</f>
        <v>0</v>
      </c>
      <c r="BL108" s="83">
        <f t="shared" si="82"/>
        <v>0</v>
      </c>
      <c r="BM108" s="83">
        <f t="shared" si="82"/>
        <v>0</v>
      </c>
      <c r="BN108" s="83">
        <f t="shared" si="82"/>
        <v>0</v>
      </c>
      <c r="BO108" s="83">
        <f t="shared" si="82"/>
        <v>0</v>
      </c>
      <c r="BP108" s="83">
        <f t="shared" si="82"/>
        <v>0</v>
      </c>
      <c r="BQ108" s="83">
        <f t="shared" si="82"/>
        <v>0</v>
      </c>
      <c r="BR108" s="83">
        <f t="shared" si="82"/>
        <v>0</v>
      </c>
      <c r="BS108" s="83">
        <f t="shared" si="82"/>
        <v>0</v>
      </c>
      <c r="BT108" s="83">
        <f t="shared" si="82"/>
        <v>0</v>
      </c>
      <c r="BU108" s="83">
        <f t="shared" si="82"/>
        <v>0</v>
      </c>
      <c r="BV108" s="83">
        <f t="shared" si="82"/>
        <v>0</v>
      </c>
      <c r="BW108" s="83">
        <f t="shared" si="82"/>
        <v>0</v>
      </c>
      <c r="BX108" s="83">
        <f t="shared" si="82"/>
        <v>0</v>
      </c>
      <c r="BY108" s="83">
        <f t="shared" si="82"/>
        <v>0</v>
      </c>
      <c r="BZ108" s="83">
        <f t="shared" si="82"/>
        <v>0</v>
      </c>
      <c r="CA108" s="83">
        <f t="shared" si="82"/>
        <v>0</v>
      </c>
      <c r="CB108" s="83">
        <f t="shared" si="82"/>
        <v>0</v>
      </c>
      <c r="CC108" s="83">
        <f t="shared" si="82"/>
        <v>0</v>
      </c>
      <c r="CD108" s="83">
        <f t="shared" si="82"/>
        <v>0</v>
      </c>
      <c r="CE108" s="83">
        <f t="shared" si="82"/>
        <v>0</v>
      </c>
      <c r="CF108" s="83"/>
      <c r="CG108" s="4"/>
      <c r="CH108" s="4"/>
      <c r="CI108" s="4">
        <f t="shared" si="72"/>
        <v>0</v>
      </c>
      <c r="CJ108" s="4"/>
      <c r="CK108" s="4"/>
      <c r="CL108" s="4">
        <f t="shared" si="79"/>
        <v>1438</v>
      </c>
    </row>
    <row r="109" s="5" customFormat="1" ht="24" customHeight="1" spans="1:90">
      <c r="A109" s="34">
        <v>44728</v>
      </c>
      <c r="B109" s="35" t="s">
        <v>83</v>
      </c>
      <c r="C109" s="26" t="s">
        <v>84</v>
      </c>
      <c r="D109" s="35">
        <v>4500081304</v>
      </c>
      <c r="E109" s="36">
        <v>5200000908</v>
      </c>
      <c r="F109" s="32" t="s">
        <v>3511</v>
      </c>
      <c r="G109" s="32"/>
      <c r="H109" s="26" t="s">
        <v>3512</v>
      </c>
      <c r="I109" s="36">
        <v>2304</v>
      </c>
      <c r="J109" s="26">
        <v>0</v>
      </c>
      <c r="K109" s="26">
        <v>16</v>
      </c>
      <c r="L109" s="49">
        <f t="shared" si="39"/>
        <v>144</v>
      </c>
      <c r="M109" s="32">
        <v>44805</v>
      </c>
      <c r="N109" s="32" t="s">
        <v>3517</v>
      </c>
      <c r="O109" s="52"/>
      <c r="P109" s="52"/>
      <c r="Q109" s="36"/>
      <c r="R109" s="72" t="s">
        <v>49</v>
      </c>
      <c r="S109" s="72" t="s">
        <v>48</v>
      </c>
      <c r="T109" s="72" t="s">
        <v>49</v>
      </c>
      <c r="U109" s="35" t="s">
        <v>3524</v>
      </c>
      <c r="V109" s="32" t="s">
        <v>3516</v>
      </c>
      <c r="W109" s="69">
        <v>4.2976</v>
      </c>
      <c r="X109" s="68">
        <f t="shared" si="71"/>
        <v>9901.6704</v>
      </c>
      <c r="Y109" s="36"/>
      <c r="Z109" s="36"/>
      <c r="AA109" s="85" t="s">
        <v>3434</v>
      </c>
      <c r="AB109" s="36"/>
      <c r="AC109" s="36"/>
      <c r="AD109" s="36"/>
      <c r="AE109" s="36"/>
      <c r="AF109" s="72"/>
      <c r="AG109" s="4">
        <f t="shared" si="75"/>
        <v>4608</v>
      </c>
      <c r="AM109" s="4">
        <f t="shared" si="76"/>
        <v>4608</v>
      </c>
      <c r="AN109" s="4">
        <f t="shared" si="77"/>
        <v>4608</v>
      </c>
      <c r="BK109" s="83">
        <f t="shared" ref="BK109:CE109" si="83">$AG109*BK$1</f>
        <v>0</v>
      </c>
      <c r="BL109" s="83">
        <f t="shared" si="83"/>
        <v>0</v>
      </c>
      <c r="BM109" s="83">
        <f t="shared" si="83"/>
        <v>0</v>
      </c>
      <c r="BN109" s="83">
        <f t="shared" si="83"/>
        <v>0</v>
      </c>
      <c r="BO109" s="83">
        <f t="shared" si="83"/>
        <v>0</v>
      </c>
      <c r="BP109" s="83">
        <f t="shared" si="83"/>
        <v>0</v>
      </c>
      <c r="BQ109" s="83">
        <f t="shared" si="83"/>
        <v>0</v>
      </c>
      <c r="BR109" s="83">
        <f t="shared" si="83"/>
        <v>0</v>
      </c>
      <c r="BS109" s="83">
        <f t="shared" si="83"/>
        <v>0</v>
      </c>
      <c r="BT109" s="83">
        <f t="shared" si="83"/>
        <v>0</v>
      </c>
      <c r="BU109" s="83">
        <f t="shared" si="83"/>
        <v>0</v>
      </c>
      <c r="BV109" s="83">
        <f t="shared" si="83"/>
        <v>0</v>
      </c>
      <c r="BW109" s="83">
        <f t="shared" si="83"/>
        <v>0</v>
      </c>
      <c r="BX109" s="83">
        <f t="shared" si="83"/>
        <v>0</v>
      </c>
      <c r="BY109" s="83">
        <f t="shared" si="83"/>
        <v>0</v>
      </c>
      <c r="BZ109" s="83">
        <f t="shared" si="83"/>
        <v>0</v>
      </c>
      <c r="CA109" s="83">
        <f t="shared" si="83"/>
        <v>0</v>
      </c>
      <c r="CB109" s="83">
        <f t="shared" si="83"/>
        <v>0</v>
      </c>
      <c r="CC109" s="83">
        <f t="shared" si="83"/>
        <v>0</v>
      </c>
      <c r="CD109" s="83">
        <f t="shared" si="83"/>
        <v>0</v>
      </c>
      <c r="CE109" s="83">
        <f t="shared" si="83"/>
        <v>0</v>
      </c>
      <c r="CF109" s="83"/>
      <c r="CG109" s="4"/>
      <c r="CH109" s="4"/>
      <c r="CI109" s="4">
        <f t="shared" si="72"/>
        <v>0</v>
      </c>
      <c r="CJ109" s="4"/>
      <c r="CK109" s="4"/>
      <c r="CL109" s="4">
        <f t="shared" si="79"/>
        <v>0</v>
      </c>
    </row>
    <row r="110" s="4" customFormat="1" ht="31" customHeight="1" spans="1:43">
      <c r="A110" s="24">
        <v>44748</v>
      </c>
      <c r="B110" s="26" t="s">
        <v>3460</v>
      </c>
      <c r="C110" s="5" t="s">
        <v>3428</v>
      </c>
      <c r="D110" s="26" t="s">
        <v>3525</v>
      </c>
      <c r="E110" s="4" t="s">
        <v>2482</v>
      </c>
      <c r="F110" s="26" t="s">
        <v>3526</v>
      </c>
      <c r="G110" s="26"/>
      <c r="H110" s="26" t="s">
        <v>3527</v>
      </c>
      <c r="I110" s="87">
        <v>120006</v>
      </c>
      <c r="J110" s="26">
        <v>0</v>
      </c>
      <c r="K110" s="26">
        <v>834</v>
      </c>
      <c r="L110" s="49">
        <f t="shared" si="39"/>
        <v>143.892086330935</v>
      </c>
      <c r="M110" s="31">
        <v>44786</v>
      </c>
      <c r="N110" s="31" t="s">
        <v>3528</v>
      </c>
      <c r="O110" s="50"/>
      <c r="P110" s="50"/>
      <c r="Q110" s="26"/>
      <c r="R110" s="66" t="s">
        <v>3529</v>
      </c>
      <c r="S110" s="66" t="s">
        <v>48</v>
      </c>
      <c r="T110" s="66" t="s">
        <v>49</v>
      </c>
      <c r="U110" s="25" t="s">
        <v>3530</v>
      </c>
      <c r="V110" s="31"/>
      <c r="W110" s="93">
        <v>2.0632</v>
      </c>
      <c r="X110" s="68">
        <f>W110*I110</f>
        <v>247596.3792</v>
      </c>
      <c r="Y110" s="26"/>
      <c r="Z110" s="26"/>
      <c r="AA110" s="26"/>
      <c r="AB110" s="49"/>
      <c r="AC110" s="26"/>
      <c r="AD110" s="26"/>
      <c r="AE110" s="26"/>
      <c r="AG110" s="4">
        <f t="shared" si="80"/>
        <v>120006</v>
      </c>
      <c r="AI110" s="4">
        <f t="shared" ref="AI110:AI112" si="84">I110</f>
        <v>120006</v>
      </c>
      <c r="AJ110" s="4">
        <f t="shared" ref="AJ110:AJ113" si="85">I110</f>
        <v>120006</v>
      </c>
      <c r="AQ110" s="4">
        <f>I110/18</f>
        <v>6667</v>
      </c>
    </row>
    <row r="111" s="4" customFormat="1" ht="31" customHeight="1" spans="1:36">
      <c r="A111" s="24">
        <v>44767</v>
      </c>
      <c r="B111" s="26" t="s">
        <v>3428</v>
      </c>
      <c r="C111" s="5" t="s">
        <v>84</v>
      </c>
      <c r="D111" s="26" t="s">
        <v>3531</v>
      </c>
      <c r="E111" s="4" t="s">
        <v>2482</v>
      </c>
      <c r="F111" s="26" t="s">
        <v>3532</v>
      </c>
      <c r="G111" s="26"/>
      <c r="H111" s="26" t="s">
        <v>3533</v>
      </c>
      <c r="I111" s="26">
        <v>0</v>
      </c>
      <c r="J111" s="26">
        <v>0</v>
      </c>
      <c r="K111" s="26">
        <v>30</v>
      </c>
      <c r="L111" s="49">
        <f t="shared" si="39"/>
        <v>0</v>
      </c>
      <c r="M111" s="31">
        <v>44802</v>
      </c>
      <c r="N111" s="31" t="s">
        <v>3534</v>
      </c>
      <c r="O111" s="50"/>
      <c r="P111" s="50"/>
      <c r="Q111" s="26"/>
      <c r="R111" s="66" t="s">
        <v>58</v>
      </c>
      <c r="S111" s="66" t="s">
        <v>58</v>
      </c>
      <c r="T111" s="66" t="s">
        <v>58</v>
      </c>
      <c r="U111" s="25" t="s">
        <v>3535</v>
      </c>
      <c r="V111" s="31"/>
      <c r="W111" s="93"/>
      <c r="X111" s="68"/>
      <c r="Y111" s="26"/>
      <c r="Z111" s="26"/>
      <c r="AA111" s="26"/>
      <c r="AB111" s="49"/>
      <c r="AC111" s="26"/>
      <c r="AD111" s="26"/>
      <c r="AE111" s="26"/>
      <c r="AG111" s="4">
        <f t="shared" si="80"/>
        <v>0</v>
      </c>
      <c r="AI111" s="4">
        <f t="shared" si="84"/>
        <v>0</v>
      </c>
      <c r="AJ111" s="4">
        <f t="shared" si="85"/>
        <v>0</v>
      </c>
    </row>
    <row r="112" s="6" customFormat="1" ht="31" customHeight="1" spans="1:44">
      <c r="A112" s="84">
        <v>44776</v>
      </c>
      <c r="B112" s="85" t="s">
        <v>3428</v>
      </c>
      <c r="C112" s="86" t="s">
        <v>84</v>
      </c>
      <c r="D112" s="85" t="s">
        <v>3536</v>
      </c>
      <c r="E112" s="86"/>
      <c r="F112" s="86"/>
      <c r="G112" s="85" t="s">
        <v>3526</v>
      </c>
      <c r="H112" s="85" t="s">
        <v>3527</v>
      </c>
      <c r="I112" s="88">
        <f>7380-7380</f>
        <v>0</v>
      </c>
      <c r="J112" s="85">
        <v>0</v>
      </c>
      <c r="K112" s="85">
        <v>18</v>
      </c>
      <c r="L112" s="89">
        <f t="shared" si="39"/>
        <v>0</v>
      </c>
      <c r="M112" s="90">
        <v>44820</v>
      </c>
      <c r="N112" s="90" t="s">
        <v>3537</v>
      </c>
      <c r="O112" s="91"/>
      <c r="P112" s="91"/>
      <c r="Q112" s="85"/>
      <c r="R112" s="94" t="s">
        <v>49</v>
      </c>
      <c r="S112" s="94" t="s">
        <v>48</v>
      </c>
      <c r="T112" s="94" t="s">
        <v>49</v>
      </c>
      <c r="U112" s="95" t="s">
        <v>3538</v>
      </c>
      <c r="V112" s="90"/>
      <c r="W112" s="96"/>
      <c r="X112" s="97"/>
      <c r="Y112" s="85"/>
      <c r="Z112" s="85"/>
      <c r="AA112" s="85" t="s">
        <v>3434</v>
      </c>
      <c r="AB112" s="89"/>
      <c r="AC112" s="85"/>
      <c r="AD112" s="85"/>
      <c r="AE112" s="85"/>
      <c r="AG112" s="6">
        <f t="shared" si="80"/>
        <v>0</v>
      </c>
      <c r="AI112" s="6">
        <f t="shared" si="84"/>
        <v>0</v>
      </c>
      <c r="AJ112" s="6">
        <f t="shared" si="85"/>
        <v>0</v>
      </c>
      <c r="AK112" s="6">
        <f t="shared" ref="AK112:AK123" si="86">I112</f>
        <v>0</v>
      </c>
      <c r="AR112" s="6">
        <f>I112/18</f>
        <v>0</v>
      </c>
    </row>
    <row r="113" s="6" customFormat="1" ht="31" customHeight="1" spans="1:48">
      <c r="A113" s="84">
        <v>44783</v>
      </c>
      <c r="B113" s="85" t="s">
        <v>162</v>
      </c>
      <c r="C113" s="86" t="s">
        <v>84</v>
      </c>
      <c r="D113" s="6">
        <v>4500084290</v>
      </c>
      <c r="E113" s="85" t="s">
        <v>3539</v>
      </c>
      <c r="F113" s="85" t="s">
        <v>3540</v>
      </c>
      <c r="G113" s="85" t="s">
        <v>3526</v>
      </c>
      <c r="H113" s="85" t="s">
        <v>3527</v>
      </c>
      <c r="I113" s="85">
        <v>45000</v>
      </c>
      <c r="J113" s="85">
        <v>0</v>
      </c>
      <c r="K113" s="85">
        <v>18</v>
      </c>
      <c r="L113" s="89">
        <f t="shared" si="39"/>
        <v>2500</v>
      </c>
      <c r="M113" s="90">
        <v>44922</v>
      </c>
      <c r="N113" s="31" t="s">
        <v>3541</v>
      </c>
      <c r="O113" s="91"/>
      <c r="P113" s="91"/>
      <c r="Q113" s="85"/>
      <c r="R113" s="94" t="s">
        <v>49</v>
      </c>
      <c r="S113" s="94" t="s">
        <v>48</v>
      </c>
      <c r="T113" s="94" t="s">
        <v>49</v>
      </c>
      <c r="U113" s="98" t="s">
        <v>3542</v>
      </c>
      <c r="V113" s="90" t="s">
        <v>3543</v>
      </c>
      <c r="W113" s="96">
        <v>2.17</v>
      </c>
      <c r="X113" s="97">
        <f t="shared" ref="X113:X124" si="87">W113*I113</f>
        <v>97650</v>
      </c>
      <c r="Y113" s="85"/>
      <c r="Z113" s="100"/>
      <c r="AA113" s="85" t="s">
        <v>3434</v>
      </c>
      <c r="AB113" s="101"/>
      <c r="AC113" s="101"/>
      <c r="AD113" s="101"/>
      <c r="AE113" s="85"/>
      <c r="AF113" s="85"/>
      <c r="AG113" s="94"/>
      <c r="AH113" s="6">
        <f>I113</f>
        <v>45000</v>
      </c>
      <c r="AJ113" s="6">
        <f t="shared" si="85"/>
        <v>45000</v>
      </c>
      <c r="AK113" s="6">
        <f t="shared" si="86"/>
        <v>45000</v>
      </c>
      <c r="AL113" s="6">
        <f t="shared" ref="AL113:AL123" si="88">I113</f>
        <v>45000</v>
      </c>
      <c r="AV113" s="6">
        <f>I113/18</f>
        <v>2500</v>
      </c>
    </row>
    <row r="114" s="5" customFormat="1" ht="31" customHeight="1" spans="1:94">
      <c r="A114" s="34">
        <v>44700</v>
      </c>
      <c r="B114" s="35" t="s">
        <v>3544</v>
      </c>
      <c r="C114" s="36" t="s">
        <v>3545</v>
      </c>
      <c r="D114" s="35">
        <v>4500079551</v>
      </c>
      <c r="E114" s="36"/>
      <c r="F114" s="32" t="s">
        <v>3546</v>
      </c>
      <c r="G114" s="32" t="s">
        <v>3436</v>
      </c>
      <c r="H114" s="26" t="s">
        <v>3437</v>
      </c>
      <c r="I114" s="26">
        <v>9720</v>
      </c>
      <c r="J114" s="26">
        <v>0</v>
      </c>
      <c r="K114" s="26">
        <v>36</v>
      </c>
      <c r="L114" s="49">
        <f t="shared" si="39"/>
        <v>270</v>
      </c>
      <c r="M114" s="32">
        <v>44793</v>
      </c>
      <c r="N114" s="32" t="s">
        <v>3547</v>
      </c>
      <c r="O114" s="52" t="s">
        <v>3548</v>
      </c>
      <c r="P114" s="50" t="s">
        <v>1266</v>
      </c>
      <c r="Q114" s="36"/>
      <c r="R114" s="72">
        <v>44775</v>
      </c>
      <c r="S114" s="72" t="s">
        <v>58</v>
      </c>
      <c r="T114" s="72">
        <v>44777</v>
      </c>
      <c r="U114" s="35" t="s">
        <v>3549</v>
      </c>
      <c r="V114" s="32" t="s">
        <v>3550</v>
      </c>
      <c r="W114" s="69">
        <v>2.0188</v>
      </c>
      <c r="X114" s="68">
        <f>I114*W114</f>
        <v>19622.736</v>
      </c>
      <c r="Y114" s="36"/>
      <c r="Z114" s="36"/>
      <c r="AA114" s="26" t="s">
        <v>3507</v>
      </c>
      <c r="AB114" s="36">
        <f>3348+6372</f>
        <v>9720</v>
      </c>
      <c r="AC114" s="26">
        <f>AB114-I114</f>
        <v>0</v>
      </c>
      <c r="AD114" s="36" t="s">
        <v>55</v>
      </c>
      <c r="AE114" s="36"/>
      <c r="AF114" s="72"/>
      <c r="AG114" s="5">
        <f>I114</f>
        <v>9720</v>
      </c>
      <c r="AM114" s="4"/>
      <c r="AN114" s="4"/>
      <c r="AQ114" s="4">
        <f>I114</f>
        <v>9720</v>
      </c>
      <c r="AR114" s="4">
        <f>I114</f>
        <v>9720</v>
      </c>
      <c r="BG114" s="4">
        <f>I114/18</f>
        <v>540</v>
      </c>
      <c r="BO114" s="83" t="e">
        <f>$AG114*#REF!</f>
        <v>#REF!</v>
      </c>
      <c r="BP114" s="83" t="e">
        <f>$AG114*#REF!</f>
        <v>#REF!</v>
      </c>
      <c r="BQ114" s="83" t="e">
        <f>$AG114*#REF!</f>
        <v>#REF!</v>
      </c>
      <c r="BR114" s="83" t="e">
        <f>$AG114*#REF!</f>
        <v>#REF!</v>
      </c>
      <c r="BS114" s="83" t="e">
        <f>$AG114*#REF!</f>
        <v>#REF!</v>
      </c>
      <c r="BT114" s="83" t="e">
        <f>$AG114*#REF!</f>
        <v>#REF!</v>
      </c>
      <c r="BU114" s="83" t="e">
        <f>$AG114*#REF!</f>
        <v>#REF!</v>
      </c>
      <c r="BV114" s="83" t="e">
        <f>$AG114*#REF!</f>
        <v>#REF!</v>
      </c>
      <c r="BW114" s="83" t="e">
        <f>$AG114*#REF!</f>
        <v>#REF!</v>
      </c>
      <c r="BX114" s="83" t="e">
        <f>$AG114*#REF!</f>
        <v>#REF!</v>
      </c>
      <c r="BY114" s="83" t="e">
        <f>$AG114*#REF!</f>
        <v>#REF!</v>
      </c>
      <c r="BZ114" s="83" t="e">
        <f>$AG114*#REF!</f>
        <v>#REF!</v>
      </c>
      <c r="CA114" s="83" t="e">
        <f>$AG114*#REF!</f>
        <v>#REF!</v>
      </c>
      <c r="CB114" s="83" t="e">
        <f>$AG114*#REF!</f>
        <v>#REF!</v>
      </c>
      <c r="CC114" s="83" t="e">
        <f>$AG114*#REF!</f>
        <v>#REF!</v>
      </c>
      <c r="CD114" s="83" t="e">
        <f>$AG114*#REF!</f>
        <v>#REF!</v>
      </c>
      <c r="CE114" s="83" t="e">
        <f>$AG114*#REF!</f>
        <v>#REF!</v>
      </c>
      <c r="CF114" s="83" t="e">
        <f>$AG114*#REF!</f>
        <v>#REF!</v>
      </c>
      <c r="CG114" s="83" t="e">
        <f>$AG114*#REF!</f>
        <v>#REF!</v>
      </c>
      <c r="CH114" s="83" t="e">
        <f>$AG114*#REF!</f>
        <v>#REF!</v>
      </c>
      <c r="CI114" s="83" t="e">
        <f>$AG114*#REF!</f>
        <v>#REF!</v>
      </c>
      <c r="CJ114" s="83"/>
      <c r="CK114" s="4"/>
      <c r="CL114" s="4"/>
      <c r="CM114" s="4">
        <f>AZ114+BA114</f>
        <v>0</v>
      </c>
      <c r="CN114" s="4"/>
      <c r="CO114" s="4"/>
      <c r="CP114" s="4">
        <f>BD114+BF114+BH114+BI114+BE114+BG114</f>
        <v>540</v>
      </c>
    </row>
    <row r="115" s="6" customFormat="1" ht="31" customHeight="1" spans="1:46">
      <c r="A115" s="84">
        <v>44768</v>
      </c>
      <c r="B115" s="85" t="s">
        <v>1186</v>
      </c>
      <c r="C115" s="86" t="s">
        <v>84</v>
      </c>
      <c r="D115" s="85">
        <v>4500083528</v>
      </c>
      <c r="G115" s="85" t="s">
        <v>3551</v>
      </c>
      <c r="H115" s="85" t="s">
        <v>3533</v>
      </c>
      <c r="I115" s="85">
        <v>38670</v>
      </c>
      <c r="J115" s="85">
        <v>0</v>
      </c>
      <c r="K115" s="85">
        <v>30</v>
      </c>
      <c r="L115" s="89">
        <f t="shared" ref="L115:L138" si="89">I115/K115</f>
        <v>1289</v>
      </c>
      <c r="M115" s="90" t="s">
        <v>3552</v>
      </c>
      <c r="N115" s="90" t="s">
        <v>3553</v>
      </c>
      <c r="O115" s="91"/>
      <c r="P115" s="91"/>
      <c r="Q115" s="85"/>
      <c r="R115" s="94">
        <v>44774</v>
      </c>
      <c r="S115" s="94" t="s">
        <v>48</v>
      </c>
      <c r="T115" s="94" t="s">
        <v>49</v>
      </c>
      <c r="U115" s="98" t="s">
        <v>3554</v>
      </c>
      <c r="V115" s="90" t="s">
        <v>3417</v>
      </c>
      <c r="W115" s="96">
        <v>74.93</v>
      </c>
      <c r="X115" s="97">
        <f>W115*L115</f>
        <v>96584.77</v>
      </c>
      <c r="Y115" s="85"/>
      <c r="Z115" s="85" t="s">
        <v>3555</v>
      </c>
      <c r="AA115" s="85"/>
      <c r="AB115" s="85" t="s">
        <v>3434</v>
      </c>
      <c r="AC115" s="89"/>
      <c r="AD115" s="102">
        <v>0</v>
      </c>
      <c r="AE115" s="85"/>
      <c r="AF115" s="85"/>
      <c r="AG115" s="85"/>
      <c r="AI115" s="6">
        <f t="shared" ref="AI115:AI123" si="90">I115</f>
        <v>38670</v>
      </c>
      <c r="AK115" s="6">
        <f t="shared" si="86"/>
        <v>38670</v>
      </c>
      <c r="AL115" s="6">
        <f t="shared" si="88"/>
        <v>38670</v>
      </c>
      <c r="AN115" s="6">
        <f>AI115</f>
        <v>38670</v>
      </c>
      <c r="AT115" s="6">
        <f>L115</f>
        <v>1289</v>
      </c>
    </row>
    <row r="116" s="6" customFormat="1" ht="31" customHeight="1" spans="1:52">
      <c r="A116" s="84">
        <v>44840</v>
      </c>
      <c r="B116" s="85" t="s">
        <v>3428</v>
      </c>
      <c r="C116" s="86" t="s">
        <v>63</v>
      </c>
      <c r="D116" s="6" t="s">
        <v>3556</v>
      </c>
      <c r="E116" s="85"/>
      <c r="F116" s="85"/>
      <c r="G116" s="85" t="s">
        <v>3557</v>
      </c>
      <c r="H116" s="85" t="s">
        <v>3558</v>
      </c>
      <c r="I116" s="85">
        <v>33480</v>
      </c>
      <c r="J116" s="85">
        <v>0</v>
      </c>
      <c r="K116" s="85">
        <v>1080</v>
      </c>
      <c r="L116" s="89">
        <f t="shared" si="89"/>
        <v>31</v>
      </c>
      <c r="M116" s="90">
        <v>44882</v>
      </c>
      <c r="N116" s="90" t="s">
        <v>3559</v>
      </c>
      <c r="O116" s="91"/>
      <c r="P116" s="91"/>
      <c r="Q116" s="85"/>
      <c r="R116" s="94" t="s">
        <v>49</v>
      </c>
      <c r="S116" s="94" t="s">
        <v>48</v>
      </c>
      <c r="T116" s="94" t="s">
        <v>49</v>
      </c>
      <c r="U116" s="98" t="s">
        <v>3560</v>
      </c>
      <c r="V116" s="90"/>
      <c r="W116" s="96"/>
      <c r="X116" s="97"/>
      <c r="Y116" s="85"/>
      <c r="Z116" s="100" t="s">
        <v>53</v>
      </c>
      <c r="AA116" s="100"/>
      <c r="AB116" s="85" t="s">
        <v>3434</v>
      </c>
      <c r="AC116" s="85"/>
      <c r="AD116" s="101"/>
      <c r="AE116" s="101"/>
      <c r="AF116" s="85"/>
      <c r="AG116" s="85"/>
      <c r="AH116" s="94"/>
      <c r="AI116" s="6">
        <f t="shared" si="90"/>
        <v>33480</v>
      </c>
      <c r="AK116" s="6">
        <f t="shared" si="86"/>
        <v>33480</v>
      </c>
      <c r="AL116" s="6">
        <f t="shared" si="88"/>
        <v>33480</v>
      </c>
      <c r="AN116" s="6">
        <f t="shared" ref="AN116:AN123" si="91">I116</f>
        <v>33480</v>
      </c>
      <c r="AZ116" s="6">
        <f t="shared" ref="AZ116:AZ123" si="92">I116/18</f>
        <v>1860</v>
      </c>
    </row>
    <row r="117" s="4" customFormat="1" ht="31" customHeight="1" spans="1:52">
      <c r="A117" s="24">
        <v>44876</v>
      </c>
      <c r="B117" s="26" t="s">
        <v>148</v>
      </c>
      <c r="C117" s="5" t="s">
        <v>149</v>
      </c>
      <c r="D117" s="4">
        <v>4500090575</v>
      </c>
      <c r="E117" s="26">
        <v>19175243</v>
      </c>
      <c r="F117" s="4" t="s">
        <v>3561</v>
      </c>
      <c r="G117" s="26" t="s">
        <v>3562</v>
      </c>
      <c r="H117" s="26" t="s">
        <v>3527</v>
      </c>
      <c r="I117" s="26">
        <v>2520</v>
      </c>
      <c r="J117" s="26">
        <v>0</v>
      </c>
      <c r="K117" s="26">
        <v>36</v>
      </c>
      <c r="L117" s="49">
        <f t="shared" si="89"/>
        <v>70</v>
      </c>
      <c r="M117" s="31">
        <v>44921</v>
      </c>
      <c r="N117" s="31" t="s">
        <v>3528</v>
      </c>
      <c r="O117" s="91"/>
      <c r="P117" s="91"/>
      <c r="Q117" s="85"/>
      <c r="R117" s="94">
        <v>44887</v>
      </c>
      <c r="S117" s="94" t="s">
        <v>48</v>
      </c>
      <c r="T117" s="94" t="s">
        <v>49</v>
      </c>
      <c r="U117" s="25" t="s">
        <v>3563</v>
      </c>
      <c r="V117" s="31" t="s">
        <v>3564</v>
      </c>
      <c r="W117" s="93">
        <v>1.9522</v>
      </c>
      <c r="X117" s="68">
        <f t="shared" si="87"/>
        <v>4919.544</v>
      </c>
      <c r="Y117" s="26"/>
      <c r="Z117" s="38"/>
      <c r="AA117" s="38"/>
      <c r="AB117" s="26" t="s">
        <v>3434</v>
      </c>
      <c r="AC117" s="26"/>
      <c r="AD117" s="103"/>
      <c r="AE117" s="103"/>
      <c r="AF117" s="26"/>
      <c r="AG117" s="26"/>
      <c r="AH117" s="66"/>
      <c r="AI117" s="4">
        <f t="shared" si="90"/>
        <v>2520</v>
      </c>
      <c r="AK117" s="4">
        <f t="shared" si="86"/>
        <v>2520</v>
      </c>
      <c r="AL117" s="4">
        <f t="shared" si="88"/>
        <v>2520</v>
      </c>
      <c r="AN117" s="4">
        <f t="shared" si="91"/>
        <v>2520</v>
      </c>
      <c r="AZ117" s="4">
        <f t="shared" si="92"/>
        <v>140</v>
      </c>
    </row>
    <row r="118" s="4" customFormat="1" ht="31" customHeight="1" spans="1:52">
      <c r="A118" s="24">
        <v>44876</v>
      </c>
      <c r="B118" s="26" t="s">
        <v>157</v>
      </c>
      <c r="C118" s="5" t="s">
        <v>149</v>
      </c>
      <c r="D118" s="4">
        <v>4500090577</v>
      </c>
      <c r="E118" s="26">
        <v>19175141</v>
      </c>
      <c r="F118" s="4" t="s">
        <v>3565</v>
      </c>
      <c r="G118" s="26" t="s">
        <v>3562</v>
      </c>
      <c r="H118" s="26" t="s">
        <v>3527</v>
      </c>
      <c r="I118" s="26">
        <v>72</v>
      </c>
      <c r="J118" s="26">
        <v>0</v>
      </c>
      <c r="K118" s="26">
        <v>36</v>
      </c>
      <c r="L118" s="49">
        <f t="shared" si="89"/>
        <v>2</v>
      </c>
      <c r="M118" s="31">
        <v>44921</v>
      </c>
      <c r="N118" s="31" t="s">
        <v>3528</v>
      </c>
      <c r="O118" s="91"/>
      <c r="P118" s="91"/>
      <c r="Q118" s="85"/>
      <c r="R118" s="94">
        <v>44887</v>
      </c>
      <c r="S118" s="94" t="s">
        <v>48</v>
      </c>
      <c r="T118" s="94" t="s">
        <v>49</v>
      </c>
      <c r="U118" s="25" t="s">
        <v>3566</v>
      </c>
      <c r="V118" s="31" t="s">
        <v>3564</v>
      </c>
      <c r="W118" s="93">
        <v>1.9657</v>
      </c>
      <c r="X118" s="68">
        <f t="shared" si="87"/>
        <v>141.5304</v>
      </c>
      <c r="Y118" s="26"/>
      <c r="Z118" s="38"/>
      <c r="AA118" s="38"/>
      <c r="AB118" s="26" t="s">
        <v>3434</v>
      </c>
      <c r="AC118" s="26"/>
      <c r="AD118" s="103"/>
      <c r="AE118" s="103"/>
      <c r="AF118" s="26"/>
      <c r="AG118" s="26"/>
      <c r="AH118" s="66"/>
      <c r="AI118" s="4">
        <f t="shared" si="90"/>
        <v>72</v>
      </c>
      <c r="AK118" s="4">
        <f t="shared" si="86"/>
        <v>72</v>
      </c>
      <c r="AL118" s="4">
        <f t="shared" si="88"/>
        <v>72</v>
      </c>
      <c r="AN118" s="4">
        <f t="shared" si="91"/>
        <v>72</v>
      </c>
      <c r="AZ118" s="4">
        <f t="shared" si="92"/>
        <v>4</v>
      </c>
    </row>
    <row r="119" s="4" customFormat="1" ht="31" customHeight="1" spans="1:52">
      <c r="A119" s="24">
        <v>44876</v>
      </c>
      <c r="B119" s="26" t="s">
        <v>148</v>
      </c>
      <c r="C119" s="5" t="s">
        <v>149</v>
      </c>
      <c r="D119" s="4">
        <v>4500090575</v>
      </c>
      <c r="E119" s="26">
        <v>19175243</v>
      </c>
      <c r="F119" s="4" t="s">
        <v>3567</v>
      </c>
      <c r="G119" s="26" t="s">
        <v>3562</v>
      </c>
      <c r="H119" s="26" t="s">
        <v>3527</v>
      </c>
      <c r="I119" s="26">
        <v>3096</v>
      </c>
      <c r="J119" s="26">
        <v>0</v>
      </c>
      <c r="K119" s="26">
        <v>36</v>
      </c>
      <c r="L119" s="49">
        <f t="shared" si="89"/>
        <v>86</v>
      </c>
      <c r="M119" s="31">
        <v>44921</v>
      </c>
      <c r="N119" s="31" t="s">
        <v>3528</v>
      </c>
      <c r="O119" s="91"/>
      <c r="P119" s="91"/>
      <c r="Q119" s="85"/>
      <c r="R119" s="94">
        <v>44887</v>
      </c>
      <c r="S119" s="94" t="s">
        <v>48</v>
      </c>
      <c r="T119" s="94" t="s">
        <v>49</v>
      </c>
      <c r="U119" s="25" t="s">
        <v>3568</v>
      </c>
      <c r="V119" s="31" t="s">
        <v>3564</v>
      </c>
      <c r="W119" s="93">
        <v>1.9522</v>
      </c>
      <c r="X119" s="68">
        <f t="shared" si="87"/>
        <v>6044.0112</v>
      </c>
      <c r="Y119" s="26"/>
      <c r="Z119" s="38"/>
      <c r="AA119" s="38"/>
      <c r="AB119" s="26" t="s">
        <v>3434</v>
      </c>
      <c r="AC119" s="26"/>
      <c r="AD119" s="103"/>
      <c r="AE119" s="103"/>
      <c r="AF119" s="26"/>
      <c r="AG119" s="26"/>
      <c r="AH119" s="66"/>
      <c r="AI119" s="4">
        <f t="shared" si="90"/>
        <v>3096</v>
      </c>
      <c r="AK119" s="4">
        <f t="shared" si="86"/>
        <v>3096</v>
      </c>
      <c r="AL119" s="4">
        <f t="shared" si="88"/>
        <v>3096</v>
      </c>
      <c r="AN119" s="4">
        <f t="shared" si="91"/>
        <v>3096</v>
      </c>
      <c r="AZ119" s="4">
        <f t="shared" si="92"/>
        <v>172</v>
      </c>
    </row>
    <row r="120" s="4" customFormat="1" ht="31" customHeight="1" spans="1:52">
      <c r="A120" s="24">
        <v>44876</v>
      </c>
      <c r="B120" s="26" t="s">
        <v>157</v>
      </c>
      <c r="C120" s="5" t="s">
        <v>149</v>
      </c>
      <c r="D120" s="4">
        <v>4500090577</v>
      </c>
      <c r="E120" s="26">
        <v>19175141</v>
      </c>
      <c r="F120" s="4" t="s">
        <v>3569</v>
      </c>
      <c r="G120" s="26" t="s">
        <v>3562</v>
      </c>
      <c r="H120" s="26" t="s">
        <v>3527</v>
      </c>
      <c r="I120" s="26">
        <v>108</v>
      </c>
      <c r="J120" s="26">
        <v>0</v>
      </c>
      <c r="K120" s="26">
        <v>36</v>
      </c>
      <c r="L120" s="49">
        <f t="shared" si="89"/>
        <v>3</v>
      </c>
      <c r="M120" s="31">
        <v>44921</v>
      </c>
      <c r="N120" s="31" t="s">
        <v>3528</v>
      </c>
      <c r="O120" s="91"/>
      <c r="P120" s="91"/>
      <c r="Q120" s="85"/>
      <c r="R120" s="94">
        <v>44887</v>
      </c>
      <c r="S120" s="94" t="s">
        <v>48</v>
      </c>
      <c r="T120" s="94" t="s">
        <v>49</v>
      </c>
      <c r="U120" s="25" t="s">
        <v>3570</v>
      </c>
      <c r="V120" s="31" t="s">
        <v>3564</v>
      </c>
      <c r="W120" s="93">
        <v>1.9657</v>
      </c>
      <c r="X120" s="68">
        <f t="shared" si="87"/>
        <v>212.2956</v>
      </c>
      <c r="Y120" s="26"/>
      <c r="Z120" s="38"/>
      <c r="AA120" s="38"/>
      <c r="AB120" s="26" t="s">
        <v>3434</v>
      </c>
      <c r="AC120" s="26"/>
      <c r="AD120" s="103"/>
      <c r="AE120" s="103"/>
      <c r="AF120" s="26"/>
      <c r="AG120" s="26"/>
      <c r="AH120" s="66"/>
      <c r="AI120" s="4">
        <f t="shared" si="90"/>
        <v>108</v>
      </c>
      <c r="AK120" s="4">
        <f t="shared" si="86"/>
        <v>108</v>
      </c>
      <c r="AL120" s="4">
        <f t="shared" si="88"/>
        <v>108</v>
      </c>
      <c r="AN120" s="4">
        <f t="shared" si="91"/>
        <v>108</v>
      </c>
      <c r="AZ120" s="4">
        <f t="shared" si="92"/>
        <v>6</v>
      </c>
    </row>
    <row r="121" s="4" customFormat="1" ht="31" customHeight="1" spans="1:52">
      <c r="A121" s="24">
        <v>44879</v>
      </c>
      <c r="B121" s="26" t="s">
        <v>148</v>
      </c>
      <c r="C121" s="5" t="s">
        <v>149</v>
      </c>
      <c r="D121" s="4">
        <v>4500090168</v>
      </c>
      <c r="E121" s="26">
        <v>19176379</v>
      </c>
      <c r="F121" s="4" t="s">
        <v>3571</v>
      </c>
      <c r="G121" s="26" t="s">
        <v>3572</v>
      </c>
      <c r="H121" s="26" t="s">
        <v>3527</v>
      </c>
      <c r="I121" s="26">
        <v>2160</v>
      </c>
      <c r="J121" s="26">
        <v>0</v>
      </c>
      <c r="K121" s="26">
        <v>36</v>
      </c>
      <c r="L121" s="49">
        <f t="shared" si="89"/>
        <v>60</v>
      </c>
      <c r="M121" s="31">
        <v>44914</v>
      </c>
      <c r="N121" s="31" t="s">
        <v>3528</v>
      </c>
      <c r="O121" s="91"/>
      <c r="P121" s="91"/>
      <c r="Q121" s="85"/>
      <c r="R121" s="94">
        <v>44882</v>
      </c>
      <c r="S121" s="94" t="s">
        <v>48</v>
      </c>
      <c r="T121" s="94">
        <v>44893</v>
      </c>
      <c r="U121" s="25" t="s">
        <v>3573</v>
      </c>
      <c r="V121" s="31" t="s">
        <v>3564</v>
      </c>
      <c r="W121" s="93">
        <v>2.0545</v>
      </c>
      <c r="X121" s="68">
        <f t="shared" si="87"/>
        <v>4437.72</v>
      </c>
      <c r="Y121" s="26"/>
      <c r="Z121" s="38"/>
      <c r="AA121" s="38"/>
      <c r="AB121" s="26" t="s">
        <v>3434</v>
      </c>
      <c r="AC121" s="26"/>
      <c r="AD121" s="103"/>
      <c r="AE121" s="103"/>
      <c r="AF121" s="26"/>
      <c r="AG121" s="26"/>
      <c r="AH121" s="66"/>
      <c r="AI121" s="4">
        <f t="shared" si="90"/>
        <v>2160</v>
      </c>
      <c r="AK121" s="4">
        <f t="shared" si="86"/>
        <v>2160</v>
      </c>
      <c r="AL121" s="4">
        <f t="shared" si="88"/>
        <v>2160</v>
      </c>
      <c r="AN121" s="4">
        <f t="shared" si="91"/>
        <v>2160</v>
      </c>
      <c r="AZ121" s="4">
        <f t="shared" si="92"/>
        <v>120</v>
      </c>
    </row>
    <row r="122" s="4" customFormat="1" ht="31" customHeight="1" spans="1:52">
      <c r="A122" s="24">
        <v>44879</v>
      </c>
      <c r="B122" s="26" t="s">
        <v>157</v>
      </c>
      <c r="C122" s="5" t="s">
        <v>149</v>
      </c>
      <c r="D122" s="4">
        <v>4500090173</v>
      </c>
      <c r="E122" s="26">
        <v>19176029</v>
      </c>
      <c r="F122" s="4" t="s">
        <v>3574</v>
      </c>
      <c r="G122" s="26" t="s">
        <v>3562</v>
      </c>
      <c r="H122" s="26" t="s">
        <v>3527</v>
      </c>
      <c r="I122" s="26">
        <v>72</v>
      </c>
      <c r="J122" s="26">
        <v>0</v>
      </c>
      <c r="K122" s="26">
        <v>36</v>
      </c>
      <c r="L122" s="49">
        <f t="shared" si="89"/>
        <v>2</v>
      </c>
      <c r="M122" s="31">
        <v>44914</v>
      </c>
      <c r="N122" s="31" t="s">
        <v>3528</v>
      </c>
      <c r="O122" s="91"/>
      <c r="P122" s="91"/>
      <c r="Q122" s="85"/>
      <c r="R122" s="94">
        <v>44882</v>
      </c>
      <c r="S122" s="94" t="s">
        <v>48</v>
      </c>
      <c r="T122" s="94">
        <v>44893</v>
      </c>
      <c r="U122" s="25" t="s">
        <v>3575</v>
      </c>
      <c r="V122" s="31" t="s">
        <v>3564</v>
      </c>
      <c r="W122" s="93">
        <v>2.0831</v>
      </c>
      <c r="X122" s="68">
        <f t="shared" si="87"/>
        <v>149.9832</v>
      </c>
      <c r="Y122" s="26"/>
      <c r="Z122" s="38"/>
      <c r="AA122" s="38"/>
      <c r="AB122" s="26" t="s">
        <v>3434</v>
      </c>
      <c r="AC122" s="26"/>
      <c r="AD122" s="103"/>
      <c r="AE122" s="103"/>
      <c r="AF122" s="26"/>
      <c r="AG122" s="26"/>
      <c r="AH122" s="66"/>
      <c r="AI122" s="4">
        <f t="shared" si="90"/>
        <v>72</v>
      </c>
      <c r="AK122" s="4">
        <f t="shared" si="86"/>
        <v>72</v>
      </c>
      <c r="AL122" s="4">
        <f t="shared" si="88"/>
        <v>72</v>
      </c>
      <c r="AN122" s="4">
        <f t="shared" si="91"/>
        <v>72</v>
      </c>
      <c r="AZ122" s="4">
        <f t="shared" si="92"/>
        <v>4</v>
      </c>
    </row>
    <row r="123" s="4" customFormat="1" ht="31" customHeight="1" spans="1:52">
      <c r="A123" s="24">
        <v>44783</v>
      </c>
      <c r="B123" s="26" t="s">
        <v>162</v>
      </c>
      <c r="C123" s="5" t="s">
        <v>84</v>
      </c>
      <c r="D123" s="4">
        <v>4500084289</v>
      </c>
      <c r="E123" s="26" t="s">
        <v>3576</v>
      </c>
      <c r="F123" s="26" t="s">
        <v>3540</v>
      </c>
      <c r="G123" s="26" t="s">
        <v>3526</v>
      </c>
      <c r="H123" s="26" t="s">
        <v>3527</v>
      </c>
      <c r="I123" s="26">
        <v>48006</v>
      </c>
      <c r="J123" s="26">
        <v>0</v>
      </c>
      <c r="K123" s="26">
        <v>18</v>
      </c>
      <c r="L123" s="49">
        <f t="shared" si="89"/>
        <v>2667</v>
      </c>
      <c r="M123" s="31">
        <v>44925</v>
      </c>
      <c r="N123" s="31" t="s">
        <v>3528</v>
      </c>
      <c r="O123" s="50"/>
      <c r="P123" s="50"/>
      <c r="Q123" s="26"/>
      <c r="R123" s="66" t="s">
        <v>49</v>
      </c>
      <c r="S123" s="66" t="s">
        <v>48</v>
      </c>
      <c r="T123" s="66" t="s">
        <v>49</v>
      </c>
      <c r="U123" s="25" t="s">
        <v>3542</v>
      </c>
      <c r="V123" s="31" t="s">
        <v>3543</v>
      </c>
      <c r="W123" s="93">
        <v>1.9839</v>
      </c>
      <c r="X123" s="68">
        <f t="shared" si="87"/>
        <v>95239.1034</v>
      </c>
      <c r="Y123" s="26"/>
      <c r="Z123" s="38"/>
      <c r="AA123" s="38"/>
      <c r="AB123" s="26" t="s">
        <v>3434</v>
      </c>
      <c r="AC123" s="26"/>
      <c r="AD123" s="103"/>
      <c r="AE123" s="103"/>
      <c r="AF123" s="26"/>
      <c r="AG123" s="26"/>
      <c r="AH123" s="66"/>
      <c r="AI123" s="4">
        <f t="shared" si="90"/>
        <v>48006</v>
      </c>
      <c r="AK123" s="4">
        <f t="shared" si="86"/>
        <v>48006</v>
      </c>
      <c r="AL123" s="4">
        <f t="shared" si="88"/>
        <v>48006</v>
      </c>
      <c r="AN123" s="4">
        <f t="shared" si="91"/>
        <v>48006</v>
      </c>
      <c r="AZ123" s="4">
        <f t="shared" si="92"/>
        <v>2667</v>
      </c>
    </row>
    <row r="124" s="4" customFormat="1" ht="31" customHeight="1" spans="1:53">
      <c r="A124" s="24">
        <v>44855</v>
      </c>
      <c r="B124" s="26" t="s">
        <v>3577</v>
      </c>
      <c r="C124" s="5" t="s">
        <v>515</v>
      </c>
      <c r="D124" s="4">
        <v>4500089151</v>
      </c>
      <c r="E124" s="26">
        <v>5200001151</v>
      </c>
      <c r="F124" s="26" t="s">
        <v>3578</v>
      </c>
      <c r="G124" s="26" t="s">
        <v>3579</v>
      </c>
      <c r="H124" s="26" t="s">
        <v>3527</v>
      </c>
      <c r="I124" s="26">
        <v>5058</v>
      </c>
      <c r="J124" s="26">
        <v>0</v>
      </c>
      <c r="K124" s="26">
        <v>18</v>
      </c>
      <c r="L124" s="49">
        <f t="shared" si="89"/>
        <v>281</v>
      </c>
      <c r="M124" s="31">
        <v>44902</v>
      </c>
      <c r="N124" s="31" t="s">
        <v>3580</v>
      </c>
      <c r="O124" s="92">
        <f>5058-324-576-4158</f>
        <v>0</v>
      </c>
      <c r="P124" s="50"/>
      <c r="Q124" s="26"/>
      <c r="R124" s="66">
        <v>44865</v>
      </c>
      <c r="S124" s="66" t="s">
        <v>58</v>
      </c>
      <c r="T124" s="66" t="s">
        <v>3581</v>
      </c>
      <c r="U124" s="25" t="s">
        <v>3582</v>
      </c>
      <c r="V124" s="31" t="s">
        <v>3583</v>
      </c>
      <c r="W124" s="93">
        <v>2.21</v>
      </c>
      <c r="X124" s="68">
        <f t="shared" si="87"/>
        <v>11178.18</v>
      </c>
      <c r="Y124" s="26"/>
      <c r="Z124" s="38"/>
      <c r="AA124" s="38"/>
      <c r="AB124" s="26" t="s">
        <v>3434</v>
      </c>
      <c r="AC124" s="26"/>
      <c r="AD124" s="103"/>
      <c r="AE124" s="103"/>
      <c r="AF124" s="26"/>
      <c r="AG124" s="26"/>
      <c r="AH124" s="66"/>
      <c r="AJ124" s="4">
        <f>I124</f>
        <v>5058</v>
      </c>
      <c r="AO124" s="4">
        <f>I124</f>
        <v>5058</v>
      </c>
      <c r="AP124" s="4">
        <f>I124</f>
        <v>5058</v>
      </c>
      <c r="AR124" s="4">
        <f>I124</f>
        <v>5058</v>
      </c>
      <c r="BA124" s="4">
        <f>I124/18</f>
        <v>281</v>
      </c>
    </row>
    <row r="125" s="4" customFormat="1" ht="31" customHeight="1" spans="1:95">
      <c r="A125" s="24">
        <v>44902</v>
      </c>
      <c r="B125" s="26" t="s">
        <v>1354</v>
      </c>
      <c r="C125" s="5" t="s">
        <v>84</v>
      </c>
      <c r="D125" s="4">
        <v>4500092268</v>
      </c>
      <c r="E125" s="26" t="s">
        <v>3584</v>
      </c>
      <c r="F125" s="4" t="s">
        <v>3585</v>
      </c>
      <c r="G125" s="32" t="s">
        <v>3511</v>
      </c>
      <c r="H125" s="26" t="s">
        <v>3512</v>
      </c>
      <c r="I125" s="36">
        <v>304</v>
      </c>
      <c r="J125" s="26">
        <v>0</v>
      </c>
      <c r="K125" s="26">
        <v>16</v>
      </c>
      <c r="L125" s="49">
        <f t="shared" si="89"/>
        <v>19</v>
      </c>
      <c r="M125" s="31">
        <v>44967</v>
      </c>
      <c r="N125" s="31" t="s">
        <v>3586</v>
      </c>
      <c r="O125" s="50"/>
      <c r="P125" s="50"/>
      <c r="Q125" s="26"/>
      <c r="R125" s="66" t="s">
        <v>3587</v>
      </c>
      <c r="S125" s="66" t="s">
        <v>48</v>
      </c>
      <c r="T125" s="66" t="s">
        <v>49</v>
      </c>
      <c r="U125" s="25" t="s">
        <v>3588</v>
      </c>
      <c r="V125" s="31" t="s">
        <v>3472</v>
      </c>
      <c r="W125" s="99">
        <v>4.1193</v>
      </c>
      <c r="X125" s="71">
        <f>I125*W125</f>
        <v>1252.2672</v>
      </c>
      <c r="Y125" s="26"/>
      <c r="Z125" s="26" t="s">
        <v>53</v>
      </c>
      <c r="AA125" s="26" t="s">
        <v>54</v>
      </c>
      <c r="AB125" s="26"/>
      <c r="AC125" s="26"/>
      <c r="AD125" s="103"/>
      <c r="AE125" s="103"/>
      <c r="AF125" s="26"/>
      <c r="AG125" s="26"/>
      <c r="AH125" s="4">
        <f>I125*2</f>
        <v>608</v>
      </c>
      <c r="AN125" s="5">
        <f>I125*2</f>
        <v>608</v>
      </c>
      <c r="AO125" s="5">
        <f>I125*2</f>
        <v>608</v>
      </c>
      <c r="AU125" s="5">
        <f>I125</f>
        <v>304</v>
      </c>
      <c r="AV125" s="5">
        <f>I125</f>
        <v>304</v>
      </c>
      <c r="AW125" s="5">
        <f>I125</f>
        <v>304</v>
      </c>
      <c r="BP125" s="83" t="e">
        <f>$AH125*#REF!</f>
        <v>#REF!</v>
      </c>
      <c r="BQ125" s="83" t="e">
        <f>$AH125*#REF!</f>
        <v>#REF!</v>
      </c>
      <c r="BR125" s="83" t="e">
        <f>$AH125*#REF!</f>
        <v>#REF!</v>
      </c>
      <c r="BS125" s="83" t="e">
        <f>$AH125*#REF!</f>
        <v>#REF!</v>
      </c>
      <c r="BT125" s="83" t="e">
        <f>$AH125*#REF!</f>
        <v>#REF!</v>
      </c>
      <c r="BU125" s="83" t="e">
        <f>$AH125*#REF!</f>
        <v>#REF!</v>
      </c>
      <c r="BV125" s="83" t="e">
        <f>$AH125*#REF!</f>
        <v>#REF!</v>
      </c>
      <c r="BW125" s="83" t="e">
        <f>$AH125*#REF!</f>
        <v>#REF!</v>
      </c>
      <c r="BX125" s="83" t="e">
        <f>$AH125*#REF!</f>
        <v>#REF!</v>
      </c>
      <c r="BY125" s="83" t="e">
        <f>$AH125*#REF!</f>
        <v>#REF!</v>
      </c>
      <c r="BZ125" s="83" t="e">
        <f>$AH125*#REF!</f>
        <v>#REF!</v>
      </c>
      <c r="CA125" s="83" t="e">
        <f>$AH125*#REF!</f>
        <v>#REF!</v>
      </c>
      <c r="CB125" s="83" t="e">
        <f>$AH125*#REF!</f>
        <v>#REF!</v>
      </c>
      <c r="CC125" s="83" t="e">
        <f>$AH125*#REF!</f>
        <v>#REF!</v>
      </c>
      <c r="CD125" s="83" t="e">
        <f>$AH125*#REF!</f>
        <v>#REF!</v>
      </c>
      <c r="CE125" s="83" t="e">
        <f>$AH125*#REF!</f>
        <v>#REF!</v>
      </c>
      <c r="CF125" s="83" t="e">
        <f>$AH125*#REF!</f>
        <v>#REF!</v>
      </c>
      <c r="CG125" s="83" t="e">
        <f>$AH125*#REF!</f>
        <v>#REF!</v>
      </c>
      <c r="CH125" s="83" t="e">
        <f>$AH125*#REF!</f>
        <v>#REF!</v>
      </c>
      <c r="CI125" s="83" t="e">
        <f>$AH125*#REF!</f>
        <v>#REF!</v>
      </c>
      <c r="CJ125" s="83" t="e">
        <f>$AH125*#REF!</f>
        <v>#REF!</v>
      </c>
      <c r="CK125" s="83"/>
      <c r="CN125" s="4">
        <f>BA125+BB125</f>
        <v>0</v>
      </c>
      <c r="CQ125" s="4">
        <f>BE125+BG125+BI125+BJ125+BF125+BH125</f>
        <v>0</v>
      </c>
    </row>
    <row r="126" s="4" customFormat="1" ht="31" customHeight="1" spans="1:95">
      <c r="A126" s="24">
        <v>44902</v>
      </c>
      <c r="B126" s="26" t="s">
        <v>1354</v>
      </c>
      <c r="C126" s="5" t="s">
        <v>84</v>
      </c>
      <c r="D126" s="4">
        <v>4500092275</v>
      </c>
      <c r="E126" s="26" t="s">
        <v>3589</v>
      </c>
      <c r="F126" s="4" t="s">
        <v>3590</v>
      </c>
      <c r="G126" s="32" t="s">
        <v>3511</v>
      </c>
      <c r="H126" s="26" t="s">
        <v>3512</v>
      </c>
      <c r="I126" s="36">
        <v>2032</v>
      </c>
      <c r="J126" s="26">
        <v>0</v>
      </c>
      <c r="K126" s="26">
        <v>16</v>
      </c>
      <c r="L126" s="49">
        <f t="shared" si="89"/>
        <v>127</v>
      </c>
      <c r="M126" s="31">
        <v>44967</v>
      </c>
      <c r="N126" s="31" t="s">
        <v>3586</v>
      </c>
      <c r="O126" s="50"/>
      <c r="P126" s="50"/>
      <c r="Q126" s="26"/>
      <c r="R126" s="66" t="s">
        <v>3587</v>
      </c>
      <c r="S126" s="66" t="s">
        <v>48</v>
      </c>
      <c r="T126" s="66" t="s">
        <v>49</v>
      </c>
      <c r="U126" s="25" t="s">
        <v>3591</v>
      </c>
      <c r="V126" s="31" t="s">
        <v>3472</v>
      </c>
      <c r="W126" s="99">
        <v>4.1693</v>
      </c>
      <c r="X126" s="71">
        <f>I126*W126</f>
        <v>8472.0176</v>
      </c>
      <c r="Y126" s="26"/>
      <c r="Z126" s="26" t="s">
        <v>53</v>
      </c>
      <c r="AA126" s="26" t="s">
        <v>54</v>
      </c>
      <c r="AB126" s="26"/>
      <c r="AC126" s="26"/>
      <c r="AD126" s="103"/>
      <c r="AE126" s="103"/>
      <c r="AF126" s="26"/>
      <c r="AG126" s="26"/>
      <c r="AH126" s="4">
        <f>I126*2</f>
        <v>4064</v>
      </c>
      <c r="AN126" s="5">
        <f>I126*2</f>
        <v>4064</v>
      </c>
      <c r="AO126" s="5">
        <f>I126*2</f>
        <v>4064</v>
      </c>
      <c r="AU126" s="5">
        <f>I126</f>
        <v>2032</v>
      </c>
      <c r="AV126" s="5">
        <f>I126</f>
        <v>2032</v>
      </c>
      <c r="AW126" s="5">
        <f>I126</f>
        <v>2032</v>
      </c>
      <c r="BP126" s="83" t="e">
        <f>$AH126*#REF!</f>
        <v>#REF!</v>
      </c>
      <c r="BQ126" s="83" t="e">
        <f>$AH126*#REF!</f>
        <v>#REF!</v>
      </c>
      <c r="BR126" s="83" t="e">
        <f>$AH126*#REF!</f>
        <v>#REF!</v>
      </c>
      <c r="BS126" s="83" t="e">
        <f>$AH126*#REF!</f>
        <v>#REF!</v>
      </c>
      <c r="BT126" s="83" t="e">
        <f>$AH126*#REF!</f>
        <v>#REF!</v>
      </c>
      <c r="BU126" s="83" t="e">
        <f>$AH126*#REF!</f>
        <v>#REF!</v>
      </c>
      <c r="BV126" s="83" t="e">
        <f>$AH126*#REF!</f>
        <v>#REF!</v>
      </c>
      <c r="BW126" s="83" t="e">
        <f>$AH126*#REF!</f>
        <v>#REF!</v>
      </c>
      <c r="BX126" s="83" t="e">
        <f>$AH126*#REF!</f>
        <v>#REF!</v>
      </c>
      <c r="BY126" s="83" t="e">
        <f>$AH126*#REF!</f>
        <v>#REF!</v>
      </c>
      <c r="BZ126" s="83" t="e">
        <f>$AH126*#REF!</f>
        <v>#REF!</v>
      </c>
      <c r="CA126" s="83" t="e">
        <f>$AH126*#REF!</f>
        <v>#REF!</v>
      </c>
      <c r="CB126" s="83" t="e">
        <f>$AH126*#REF!</f>
        <v>#REF!</v>
      </c>
      <c r="CC126" s="83" t="e">
        <f>$AH126*#REF!</f>
        <v>#REF!</v>
      </c>
      <c r="CD126" s="83" t="e">
        <f>$AH126*#REF!</f>
        <v>#REF!</v>
      </c>
      <c r="CE126" s="83" t="e">
        <f>$AH126*#REF!</f>
        <v>#REF!</v>
      </c>
      <c r="CF126" s="83" t="e">
        <f>$AH126*#REF!</f>
        <v>#REF!</v>
      </c>
      <c r="CG126" s="83" t="e">
        <f>$AH126*#REF!</f>
        <v>#REF!</v>
      </c>
      <c r="CH126" s="83" t="e">
        <f>$AH126*#REF!</f>
        <v>#REF!</v>
      </c>
      <c r="CI126" s="83" t="e">
        <f>$AH126*#REF!</f>
        <v>#REF!</v>
      </c>
      <c r="CJ126" s="83" t="e">
        <f>$AH126*#REF!</f>
        <v>#REF!</v>
      </c>
      <c r="CK126" s="83"/>
      <c r="CN126" s="4">
        <f>BA126+BB126</f>
        <v>0</v>
      </c>
      <c r="CQ126" s="4">
        <f>BE126+BG126+BI126+BJ126+BF126+BH126</f>
        <v>0</v>
      </c>
    </row>
    <row r="127" s="4" customFormat="1" ht="31" customHeight="1" spans="1:61">
      <c r="A127" s="24">
        <v>44909</v>
      </c>
      <c r="B127" s="5" t="s">
        <v>3592</v>
      </c>
      <c r="C127" s="5" t="s">
        <v>84</v>
      </c>
      <c r="D127" s="4">
        <v>4500092766</v>
      </c>
      <c r="E127" s="26">
        <v>214076132</v>
      </c>
      <c r="F127" s="4" t="s">
        <v>3593</v>
      </c>
      <c r="G127" s="26" t="s">
        <v>3594</v>
      </c>
      <c r="H127" s="26" t="s">
        <v>3527</v>
      </c>
      <c r="I127" s="26">
        <v>888</v>
      </c>
      <c r="J127" s="26">
        <v>0</v>
      </c>
      <c r="K127" s="26">
        <v>24</v>
      </c>
      <c r="L127" s="49">
        <f t="shared" si="89"/>
        <v>37</v>
      </c>
      <c r="M127" s="31">
        <v>45000</v>
      </c>
      <c r="N127" s="31" t="s">
        <v>2290</v>
      </c>
      <c r="O127" s="50"/>
      <c r="P127" s="50"/>
      <c r="Q127" s="26"/>
      <c r="R127" s="72">
        <v>44942</v>
      </c>
      <c r="S127" s="72" t="s">
        <v>58</v>
      </c>
      <c r="T127" s="72" t="s">
        <v>58</v>
      </c>
      <c r="U127" s="25" t="s">
        <v>3595</v>
      </c>
      <c r="V127" s="31" t="s">
        <v>3596</v>
      </c>
      <c r="W127" s="93">
        <v>2.19</v>
      </c>
      <c r="X127" s="68">
        <f t="shared" ref="X127:X131" si="93">W127*I127</f>
        <v>1944.72</v>
      </c>
      <c r="Y127" s="26"/>
      <c r="Z127" s="38"/>
      <c r="AA127" s="38"/>
      <c r="AB127" s="26"/>
      <c r="AC127" s="26"/>
      <c r="AD127" s="103"/>
      <c r="AE127" s="103"/>
      <c r="AF127" s="26" t="s">
        <v>58</v>
      </c>
      <c r="AG127" s="26"/>
      <c r="AH127" s="66"/>
      <c r="AI127" s="4">
        <f>I127</f>
        <v>888</v>
      </c>
      <c r="AK127" s="4">
        <f>I127</f>
        <v>888</v>
      </c>
      <c r="AL127" s="4">
        <f t="shared" ref="AL127:AL130" si="94">I127</f>
        <v>888</v>
      </c>
      <c r="AN127" s="4">
        <f>I127</f>
        <v>888</v>
      </c>
      <c r="BI127" s="4">
        <f>I127/12</f>
        <v>74</v>
      </c>
    </row>
    <row r="128" s="4" customFormat="1" ht="31" customHeight="1" spans="1:61">
      <c r="A128" s="24">
        <v>44909</v>
      </c>
      <c r="B128" s="5" t="s">
        <v>3592</v>
      </c>
      <c r="C128" s="5" t="s">
        <v>84</v>
      </c>
      <c r="D128" s="4">
        <v>4500092767</v>
      </c>
      <c r="E128" s="26">
        <v>214076135</v>
      </c>
      <c r="F128" s="4" t="s">
        <v>3597</v>
      </c>
      <c r="G128" s="26" t="s">
        <v>3594</v>
      </c>
      <c r="H128" s="26" t="s">
        <v>3527</v>
      </c>
      <c r="I128" s="26">
        <v>1632</v>
      </c>
      <c r="J128" s="26">
        <v>0</v>
      </c>
      <c r="K128" s="26">
        <v>24</v>
      </c>
      <c r="L128" s="49">
        <f t="shared" si="89"/>
        <v>68</v>
      </c>
      <c r="M128" s="31">
        <v>45000</v>
      </c>
      <c r="N128" s="31" t="s">
        <v>2290</v>
      </c>
      <c r="O128" s="50"/>
      <c r="P128" s="50"/>
      <c r="Q128" s="26"/>
      <c r="R128" s="72">
        <v>44942</v>
      </c>
      <c r="S128" s="72" t="s">
        <v>58</v>
      </c>
      <c r="T128" s="72" t="s">
        <v>58</v>
      </c>
      <c r="U128" s="25" t="s">
        <v>3595</v>
      </c>
      <c r="V128" s="31" t="s">
        <v>3596</v>
      </c>
      <c r="W128" s="93">
        <v>2.19</v>
      </c>
      <c r="X128" s="68">
        <f t="shared" si="93"/>
        <v>3574.08</v>
      </c>
      <c r="Y128" s="26"/>
      <c r="Z128" s="38"/>
      <c r="AA128" s="38"/>
      <c r="AB128" s="26"/>
      <c r="AC128" s="26"/>
      <c r="AD128" s="103"/>
      <c r="AE128" s="103"/>
      <c r="AF128" s="26" t="s">
        <v>58</v>
      </c>
      <c r="AG128" s="26"/>
      <c r="AH128" s="66"/>
      <c r="AI128" s="4">
        <f>I128</f>
        <v>1632</v>
      </c>
      <c r="AK128" s="4">
        <f>I128</f>
        <v>1632</v>
      </c>
      <c r="AL128" s="4">
        <f t="shared" si="94"/>
        <v>1632</v>
      </c>
      <c r="AN128" s="4">
        <f>I128</f>
        <v>1632</v>
      </c>
      <c r="BI128" s="4">
        <f>I128/12</f>
        <v>136</v>
      </c>
    </row>
    <row r="129" s="4" customFormat="1" ht="31" customHeight="1" spans="1:53">
      <c r="A129" s="24">
        <v>44859</v>
      </c>
      <c r="B129" s="26" t="s">
        <v>3598</v>
      </c>
      <c r="C129" s="5" t="s">
        <v>474</v>
      </c>
      <c r="D129" s="4">
        <v>4500089328</v>
      </c>
      <c r="E129" s="26"/>
      <c r="F129" s="26" t="s">
        <v>3599</v>
      </c>
      <c r="G129" s="26" t="s">
        <v>3600</v>
      </c>
      <c r="H129" s="26" t="s">
        <v>3527</v>
      </c>
      <c r="I129" s="26">
        <v>3600</v>
      </c>
      <c r="J129" s="26">
        <v>0</v>
      </c>
      <c r="K129" s="26">
        <v>36</v>
      </c>
      <c r="L129" s="49">
        <f t="shared" si="89"/>
        <v>100</v>
      </c>
      <c r="M129" s="31">
        <v>44972</v>
      </c>
      <c r="N129" s="31" t="s">
        <v>3601</v>
      </c>
      <c r="O129" s="50"/>
      <c r="P129" s="136"/>
      <c r="Q129" s="26"/>
      <c r="R129" s="66">
        <v>44896</v>
      </c>
      <c r="S129" s="66" t="s">
        <v>3602</v>
      </c>
      <c r="T129" s="66" t="s">
        <v>49</v>
      </c>
      <c r="U129" s="25" t="s">
        <v>3603</v>
      </c>
      <c r="V129" s="31" t="s">
        <v>3583</v>
      </c>
      <c r="W129" s="93">
        <v>1.9155</v>
      </c>
      <c r="X129" s="68">
        <f t="shared" si="93"/>
        <v>6895.8</v>
      </c>
      <c r="Y129" s="26"/>
      <c r="Z129" s="38" t="s">
        <v>53</v>
      </c>
      <c r="AA129" s="38" t="s">
        <v>54</v>
      </c>
      <c r="AB129" s="26" t="s">
        <v>3434</v>
      </c>
      <c r="AC129" s="136">
        <v>44890</v>
      </c>
      <c r="AD129" s="103"/>
      <c r="AE129" s="103"/>
      <c r="AF129" s="26"/>
      <c r="AG129" s="26"/>
      <c r="AH129" s="66"/>
      <c r="AO129" s="4">
        <f>I129</f>
        <v>3600</v>
      </c>
      <c r="AP129" s="4">
        <f>I129</f>
        <v>3600</v>
      </c>
      <c r="AR129" s="4">
        <f>I129</f>
        <v>3600</v>
      </c>
      <c r="BA129" s="4">
        <f>I129/18</f>
        <v>200</v>
      </c>
    </row>
    <row r="130" s="4" customFormat="1" ht="31" customHeight="1" spans="1:54">
      <c r="A130" s="24">
        <v>44921</v>
      </c>
      <c r="B130" s="104" t="s">
        <v>3456</v>
      </c>
      <c r="C130" s="105" t="s">
        <v>84</v>
      </c>
      <c r="D130" s="4">
        <v>4500092508</v>
      </c>
      <c r="E130" s="26">
        <v>977807</v>
      </c>
      <c r="F130" s="4" t="s">
        <v>3604</v>
      </c>
      <c r="G130" s="26" t="s">
        <v>3605</v>
      </c>
      <c r="H130" s="26" t="s">
        <v>3527</v>
      </c>
      <c r="I130" s="26">
        <v>7992</v>
      </c>
      <c r="J130" s="26">
        <v>0</v>
      </c>
      <c r="K130" s="26">
        <v>12</v>
      </c>
      <c r="L130" s="49">
        <f t="shared" si="89"/>
        <v>666</v>
      </c>
      <c r="M130" s="31">
        <v>44987</v>
      </c>
      <c r="N130" s="31" t="s">
        <v>3606</v>
      </c>
      <c r="O130" s="50"/>
      <c r="P130" s="50"/>
      <c r="Q130" s="26"/>
      <c r="R130" s="72">
        <v>44929</v>
      </c>
      <c r="S130" s="72" t="s">
        <v>58</v>
      </c>
      <c r="T130" s="72" t="s">
        <v>49</v>
      </c>
      <c r="U130" s="25" t="s">
        <v>3607</v>
      </c>
      <c r="V130" s="31" t="s">
        <v>3608</v>
      </c>
      <c r="W130" s="93">
        <v>2.0765</v>
      </c>
      <c r="X130" s="68">
        <f t="shared" si="93"/>
        <v>16595.388</v>
      </c>
      <c r="Y130" s="26"/>
      <c r="Z130" s="38" t="s">
        <v>53</v>
      </c>
      <c r="AA130" s="38" t="s">
        <v>54</v>
      </c>
      <c r="AB130" s="26"/>
      <c r="AC130" s="26"/>
      <c r="AD130" s="26">
        <f>AC130-I130</f>
        <v>-7992</v>
      </c>
      <c r="AE130" s="103"/>
      <c r="AF130" s="26"/>
      <c r="AG130" s="26"/>
      <c r="AH130" s="66"/>
      <c r="AL130" s="4">
        <f t="shared" si="94"/>
        <v>7992</v>
      </c>
      <c r="AO130" s="4">
        <f>I130</f>
        <v>7992</v>
      </c>
      <c r="AP130" s="4">
        <f>I130</f>
        <v>7992</v>
      </c>
      <c r="BB130" s="4">
        <f>I130/12</f>
        <v>666</v>
      </c>
    </row>
    <row r="131" s="4" customFormat="1" ht="31" customHeight="1" spans="1:57">
      <c r="A131" s="24">
        <v>44963</v>
      </c>
      <c r="B131" s="26" t="s">
        <v>1544</v>
      </c>
      <c r="C131" s="105" t="s">
        <v>3609</v>
      </c>
      <c r="D131" s="4">
        <v>4500094726</v>
      </c>
      <c r="E131" s="26" t="s">
        <v>3610</v>
      </c>
      <c r="F131" s="4" t="s">
        <v>3611</v>
      </c>
      <c r="G131" s="26" t="s">
        <v>3612</v>
      </c>
      <c r="H131" s="26" t="s">
        <v>3613</v>
      </c>
      <c r="I131" s="26">
        <v>504</v>
      </c>
      <c r="J131" s="26">
        <v>0</v>
      </c>
      <c r="K131" s="26">
        <v>12</v>
      </c>
      <c r="L131" s="49">
        <f t="shared" si="89"/>
        <v>42</v>
      </c>
      <c r="M131" s="31">
        <v>45016</v>
      </c>
      <c r="N131" s="31" t="s">
        <v>3614</v>
      </c>
      <c r="O131" s="50"/>
      <c r="P131" s="50"/>
      <c r="Q131" s="26"/>
      <c r="R131" s="72" t="s">
        <v>3615</v>
      </c>
      <c r="S131" s="72" t="s">
        <v>48</v>
      </c>
      <c r="T131" s="72" t="s">
        <v>49</v>
      </c>
      <c r="U131" s="25" t="s">
        <v>3616</v>
      </c>
      <c r="V131" s="31" t="s">
        <v>3516</v>
      </c>
      <c r="W131" s="93">
        <v>4.0118</v>
      </c>
      <c r="X131" s="68">
        <f t="shared" si="93"/>
        <v>2021.9472</v>
      </c>
      <c r="Y131" s="26"/>
      <c r="Z131" s="38" t="s">
        <v>3555</v>
      </c>
      <c r="AA131" s="38"/>
      <c r="AB131" s="26"/>
      <c r="AC131" s="26"/>
      <c r="AD131" s="103"/>
      <c r="AE131" s="103"/>
      <c r="AF131" s="26"/>
      <c r="AG131" s="26"/>
      <c r="AH131" s="66"/>
      <c r="AL131" s="4">
        <f>I131*2</f>
        <v>1008</v>
      </c>
      <c r="AO131" s="4">
        <f>AL131</f>
        <v>1008</v>
      </c>
      <c r="BC131" s="4">
        <f>I131</f>
        <v>504</v>
      </c>
      <c r="BD131" s="4">
        <f>I131</f>
        <v>504</v>
      </c>
      <c r="BE131" s="4">
        <f>I131</f>
        <v>504</v>
      </c>
    </row>
    <row r="132" s="7" customFormat="1" ht="28" customHeight="1" spans="1:97">
      <c r="A132" s="106">
        <v>44999</v>
      </c>
      <c r="B132" s="107" t="s">
        <v>1145</v>
      </c>
      <c r="C132" s="108" t="s">
        <v>84</v>
      </c>
      <c r="D132" s="7">
        <v>4500097232</v>
      </c>
      <c r="E132" s="109">
        <v>60084364</v>
      </c>
      <c r="F132" s="7" t="s">
        <v>3617</v>
      </c>
      <c r="G132" s="110" t="s">
        <v>3511</v>
      </c>
      <c r="H132" s="109" t="s">
        <v>3512</v>
      </c>
      <c r="I132" s="137">
        <v>6000</v>
      </c>
      <c r="J132" s="109">
        <v>0</v>
      </c>
      <c r="K132" s="109">
        <v>16</v>
      </c>
      <c r="L132" s="138">
        <f t="shared" si="89"/>
        <v>375</v>
      </c>
      <c r="M132" s="139">
        <v>45033</v>
      </c>
      <c r="N132" s="139" t="s">
        <v>3618</v>
      </c>
      <c r="O132" s="140"/>
      <c r="P132" s="140"/>
      <c r="Q132" s="109"/>
      <c r="R132" s="151">
        <v>44999</v>
      </c>
      <c r="S132" s="151" t="s">
        <v>58</v>
      </c>
      <c r="T132" s="151" t="s">
        <v>49</v>
      </c>
      <c r="U132" s="152" t="s">
        <v>3619</v>
      </c>
      <c r="V132" s="8" t="s">
        <v>3620</v>
      </c>
      <c r="W132" s="153">
        <v>4.0975</v>
      </c>
      <c r="X132" s="154">
        <f>I132*W132</f>
        <v>24585</v>
      </c>
      <c r="Y132" s="109"/>
      <c r="Z132" s="176" t="s">
        <v>53</v>
      </c>
      <c r="AA132" s="109" t="s">
        <v>54</v>
      </c>
      <c r="AB132" s="109"/>
      <c r="AC132" s="109"/>
      <c r="AD132" s="177"/>
      <c r="AE132" s="177"/>
      <c r="AF132" s="109"/>
      <c r="AG132" s="109"/>
      <c r="AH132" s="7">
        <f>I132*2</f>
        <v>12000</v>
      </c>
      <c r="AN132" s="7">
        <f>I132*2</f>
        <v>12000</v>
      </c>
      <c r="AO132" s="7">
        <f>AN132</f>
        <v>12000</v>
      </c>
      <c r="AR132" s="189"/>
      <c r="AS132" s="189"/>
      <c r="AT132" s="189"/>
      <c r="AU132" s="189"/>
      <c r="AW132" s="189">
        <f>I132</f>
        <v>6000</v>
      </c>
      <c r="AX132" s="189">
        <f>I132</f>
        <v>6000</v>
      </c>
      <c r="AY132" s="189">
        <f>I132</f>
        <v>6000</v>
      </c>
      <c r="BH132" s="189"/>
      <c r="BJ132" s="189"/>
      <c r="BR132" s="192" t="e">
        <f>$AH132*#REF!</f>
        <v>#REF!</v>
      </c>
      <c r="BS132" s="192" t="e">
        <f>$AH132*#REF!</f>
        <v>#REF!</v>
      </c>
      <c r="BT132" s="192" t="e">
        <f>$AH132*#REF!</f>
        <v>#REF!</v>
      </c>
      <c r="BU132" s="192" t="e">
        <f>$AH132*#REF!</f>
        <v>#REF!</v>
      </c>
      <c r="BV132" s="192" t="e">
        <f>$AH132*#REF!</f>
        <v>#REF!</v>
      </c>
      <c r="BW132" s="192" t="e">
        <f>$AH132*#REF!</f>
        <v>#REF!</v>
      </c>
      <c r="BX132" s="192" t="e">
        <f>$AH132*#REF!</f>
        <v>#REF!</v>
      </c>
      <c r="BY132" s="192" t="e">
        <f>$AH132*#REF!</f>
        <v>#REF!</v>
      </c>
      <c r="BZ132" s="192" t="e">
        <f>$AH132*#REF!</f>
        <v>#REF!</v>
      </c>
      <c r="CA132" s="192" t="e">
        <f>$AH132*#REF!</f>
        <v>#REF!</v>
      </c>
      <c r="CB132" s="192" t="e">
        <f>$AH132*#REF!</f>
        <v>#REF!</v>
      </c>
      <c r="CC132" s="192" t="e">
        <f>$AH132*#REF!</f>
        <v>#REF!</v>
      </c>
      <c r="CD132" s="192" t="e">
        <f>$AH132*#REF!</f>
        <v>#REF!</v>
      </c>
      <c r="CE132" s="192" t="e">
        <f>$AH132*#REF!</f>
        <v>#REF!</v>
      </c>
      <c r="CF132" s="192" t="e">
        <f>$AH132*#REF!</f>
        <v>#REF!</v>
      </c>
      <c r="CG132" s="192" t="e">
        <f>$AH132*#REF!</f>
        <v>#REF!</v>
      </c>
      <c r="CH132" s="192" t="e">
        <f>$AH132*#REF!</f>
        <v>#REF!</v>
      </c>
      <c r="CI132" s="192" t="e">
        <f>$AH132*#REF!</f>
        <v>#REF!</v>
      </c>
      <c r="CJ132" s="192" t="e">
        <f>$AH132*#REF!</f>
        <v>#REF!</v>
      </c>
      <c r="CK132" s="192" t="e">
        <f>$AH132*#REF!</f>
        <v>#REF!</v>
      </c>
      <c r="CL132" s="192" t="e">
        <f>$AH132*#REF!</f>
        <v>#REF!</v>
      </c>
      <c r="CM132" s="192"/>
      <c r="CP132" s="7">
        <f>BC132+BD132</f>
        <v>0</v>
      </c>
      <c r="CS132" s="7">
        <f>BG132+BI132+BK132+BL132+BH132+BJ132</f>
        <v>0</v>
      </c>
    </row>
    <row r="133" s="8" customFormat="1" ht="31" customHeight="1" spans="1:38">
      <c r="A133" s="111">
        <v>44957</v>
      </c>
      <c r="B133" s="112" t="s">
        <v>1950</v>
      </c>
      <c r="C133" s="113" t="s">
        <v>3609</v>
      </c>
      <c r="D133" s="8">
        <v>4500094129</v>
      </c>
      <c r="E133" s="114" t="s">
        <v>3621</v>
      </c>
      <c r="F133" s="8" t="s">
        <v>3622</v>
      </c>
      <c r="G133" s="115" t="s">
        <v>44</v>
      </c>
      <c r="H133" s="114" t="s">
        <v>45</v>
      </c>
      <c r="I133" s="114">
        <v>360</v>
      </c>
      <c r="J133" s="114">
        <v>0</v>
      </c>
      <c r="K133" s="114">
        <v>4</v>
      </c>
      <c r="L133" s="141">
        <f t="shared" si="89"/>
        <v>90</v>
      </c>
      <c r="M133" s="142">
        <v>45034</v>
      </c>
      <c r="N133" s="142" t="s">
        <v>3623</v>
      </c>
      <c r="O133" s="143"/>
      <c r="P133" s="143"/>
      <c r="Q133" s="114" t="s">
        <v>3624</v>
      </c>
      <c r="R133" s="155">
        <v>44985</v>
      </c>
      <c r="S133" s="155" t="s">
        <v>58</v>
      </c>
      <c r="T133" s="155" t="s">
        <v>58</v>
      </c>
      <c r="U133" s="112" t="s">
        <v>3625</v>
      </c>
      <c r="V133" s="142" t="s">
        <v>3626</v>
      </c>
      <c r="W133" s="156">
        <v>8.2</v>
      </c>
      <c r="X133" s="157">
        <f>I133*W133</f>
        <v>2952</v>
      </c>
      <c r="Y133" s="114"/>
      <c r="Z133" s="114" t="s">
        <v>53</v>
      </c>
      <c r="AA133" s="114"/>
      <c r="AB133" s="114"/>
      <c r="AC133" s="130"/>
      <c r="AD133" s="130"/>
      <c r="AE133" s="130"/>
      <c r="AF133" s="114"/>
      <c r="AG133" s="114"/>
      <c r="AH133" s="155"/>
      <c r="AI133" s="8">
        <f>I133</f>
        <v>360</v>
      </c>
      <c r="AK133" s="8">
        <f>I133</f>
        <v>360</v>
      </c>
      <c r="AL133" s="8">
        <f>I133</f>
        <v>360</v>
      </c>
    </row>
    <row r="134" s="9" customFormat="1" ht="31" customHeight="1" spans="1:45">
      <c r="A134" s="116">
        <v>45023</v>
      </c>
      <c r="B134" s="117" t="s">
        <v>1186</v>
      </c>
      <c r="C134" s="118" t="s">
        <v>84</v>
      </c>
      <c r="D134" s="9" t="s">
        <v>3627</v>
      </c>
      <c r="E134" s="117" t="s">
        <v>2482</v>
      </c>
      <c r="F134" s="9" t="s">
        <v>3628</v>
      </c>
      <c r="G134" s="119" t="s">
        <v>3557</v>
      </c>
      <c r="H134" s="119" t="s">
        <v>3558</v>
      </c>
      <c r="I134" s="119">
        <v>0</v>
      </c>
      <c r="J134" s="119">
        <v>0</v>
      </c>
      <c r="K134" s="119">
        <v>2880</v>
      </c>
      <c r="L134" s="144">
        <f t="shared" si="89"/>
        <v>0</v>
      </c>
      <c r="M134" s="145">
        <v>45043</v>
      </c>
      <c r="N134" s="145">
        <v>45040</v>
      </c>
      <c r="O134" s="146"/>
      <c r="P134" s="146"/>
      <c r="Q134" s="119"/>
      <c r="R134" s="158"/>
      <c r="S134" s="158"/>
      <c r="T134" s="158"/>
      <c r="U134" s="159" t="s">
        <v>3629</v>
      </c>
      <c r="V134" s="145" t="s">
        <v>2482</v>
      </c>
      <c r="W134" s="160">
        <v>0</v>
      </c>
      <c r="X134" s="161">
        <f>W134*I134</f>
        <v>0</v>
      </c>
      <c r="Y134" s="119"/>
      <c r="Z134" s="119"/>
      <c r="AA134" s="178"/>
      <c r="AB134" s="119"/>
      <c r="AC134" s="119"/>
      <c r="AD134" s="179"/>
      <c r="AE134" s="179"/>
      <c r="AF134" s="119"/>
      <c r="AG134" s="119"/>
      <c r="AR134" s="190"/>
      <c r="AS134" s="190"/>
    </row>
    <row r="135" s="9" customFormat="1" ht="31" customHeight="1" spans="1:45">
      <c r="A135" s="116">
        <v>45023</v>
      </c>
      <c r="B135" s="117" t="s">
        <v>1186</v>
      </c>
      <c r="C135" s="118" t="s">
        <v>84</v>
      </c>
      <c r="D135" s="9" t="s">
        <v>3627</v>
      </c>
      <c r="E135" s="117" t="s">
        <v>2482</v>
      </c>
      <c r="F135" s="9" t="s">
        <v>3628</v>
      </c>
      <c r="G135" s="119" t="s">
        <v>3557</v>
      </c>
      <c r="H135" s="119" t="s">
        <v>3558</v>
      </c>
      <c r="I135" s="119">
        <v>0</v>
      </c>
      <c r="J135" s="119">
        <v>0</v>
      </c>
      <c r="K135" s="119">
        <v>3180</v>
      </c>
      <c r="L135" s="144">
        <f t="shared" si="89"/>
        <v>0</v>
      </c>
      <c r="M135" s="145">
        <v>45054</v>
      </c>
      <c r="N135" s="145">
        <v>45050</v>
      </c>
      <c r="O135" s="146"/>
      <c r="P135" s="146"/>
      <c r="Q135" s="119"/>
      <c r="R135" s="158"/>
      <c r="S135" s="158"/>
      <c r="T135" s="158"/>
      <c r="U135" s="159" t="s">
        <v>3629</v>
      </c>
      <c r="V135" s="145" t="s">
        <v>2482</v>
      </c>
      <c r="W135" s="160">
        <v>0</v>
      </c>
      <c r="X135" s="161">
        <f>W135*I135</f>
        <v>0</v>
      </c>
      <c r="Y135" s="119"/>
      <c r="Z135" s="178"/>
      <c r="AA135" s="178"/>
      <c r="AB135" s="119"/>
      <c r="AC135" s="119"/>
      <c r="AD135" s="179"/>
      <c r="AE135" s="179"/>
      <c r="AF135" s="119"/>
      <c r="AG135" s="119"/>
      <c r="AH135" s="186"/>
      <c r="AR135" s="190"/>
      <c r="AS135" s="190"/>
    </row>
    <row r="136" s="7" customFormat="1" ht="31" customHeight="1" spans="1:53">
      <c r="A136" s="111">
        <v>45035</v>
      </c>
      <c r="B136" s="112" t="s">
        <v>3630</v>
      </c>
      <c r="C136" s="114" t="s">
        <v>716</v>
      </c>
      <c r="D136" s="7">
        <v>4500101110</v>
      </c>
      <c r="E136" s="114">
        <v>3501525426</v>
      </c>
      <c r="F136" s="7" t="s">
        <v>3631</v>
      </c>
      <c r="G136" s="109" t="s">
        <v>3526</v>
      </c>
      <c r="H136" s="109" t="s">
        <v>3527</v>
      </c>
      <c r="I136" s="109">
        <v>1170</v>
      </c>
      <c r="J136" s="109">
        <v>0</v>
      </c>
      <c r="K136" s="109">
        <v>18</v>
      </c>
      <c r="L136" s="138">
        <f t="shared" si="89"/>
        <v>65</v>
      </c>
      <c r="M136" s="139">
        <v>45093</v>
      </c>
      <c r="N136" s="139" t="s">
        <v>3632</v>
      </c>
      <c r="O136" s="143" t="s">
        <v>3633</v>
      </c>
      <c r="P136" s="140" t="s">
        <v>3548</v>
      </c>
      <c r="Q136" s="109"/>
      <c r="R136" s="151">
        <v>45062</v>
      </c>
      <c r="S136" s="151" t="s">
        <v>58</v>
      </c>
      <c r="T136" s="151" t="s">
        <v>58</v>
      </c>
      <c r="U136" s="152" t="s">
        <v>3634</v>
      </c>
      <c r="V136" s="142" t="s">
        <v>3635</v>
      </c>
      <c r="W136" s="162">
        <v>1.9961</v>
      </c>
      <c r="X136" s="163">
        <f>W136*I136</f>
        <v>2335.437</v>
      </c>
      <c r="Y136" s="109"/>
      <c r="Z136" s="130" t="s">
        <v>53</v>
      </c>
      <c r="AA136" s="176" t="s">
        <v>54</v>
      </c>
      <c r="AB136" s="109"/>
      <c r="AC136" s="109"/>
      <c r="AD136" s="109">
        <f>AC136-I136</f>
        <v>-1170</v>
      </c>
      <c r="AE136" s="177"/>
      <c r="AF136" s="109" t="s">
        <v>58</v>
      </c>
      <c r="AG136" s="109"/>
      <c r="AI136" s="7">
        <f>I136</f>
        <v>1170</v>
      </c>
      <c r="AL136" s="7">
        <f>I136</f>
        <v>1170</v>
      </c>
      <c r="AO136" s="7">
        <f>I136</f>
        <v>1170</v>
      </c>
      <c r="AR136" s="189"/>
      <c r="AS136" s="189"/>
      <c r="BA136" s="7">
        <f>I136/18</f>
        <v>65</v>
      </c>
    </row>
    <row r="137" s="7" customFormat="1" ht="31" customHeight="1" spans="1:53">
      <c r="A137" s="120">
        <v>45064</v>
      </c>
      <c r="B137" s="121" t="s">
        <v>3630</v>
      </c>
      <c r="C137" s="122" t="s">
        <v>716</v>
      </c>
      <c r="D137" s="123">
        <v>4500101899</v>
      </c>
      <c r="E137" s="124">
        <v>2401525427</v>
      </c>
      <c r="F137" s="123" t="s">
        <v>3636</v>
      </c>
      <c r="G137" s="109" t="s">
        <v>3526</v>
      </c>
      <c r="H137" s="109" t="s">
        <v>3527</v>
      </c>
      <c r="I137" s="109">
        <v>252</v>
      </c>
      <c r="J137" s="109">
        <v>0</v>
      </c>
      <c r="K137" s="109">
        <v>18</v>
      </c>
      <c r="L137" s="138">
        <f t="shared" si="89"/>
        <v>14</v>
      </c>
      <c r="M137" s="139">
        <v>45114</v>
      </c>
      <c r="N137" s="139" t="s">
        <v>3632</v>
      </c>
      <c r="O137" s="140" t="s">
        <v>3637</v>
      </c>
      <c r="P137" s="140" t="s">
        <v>3548</v>
      </c>
      <c r="Q137" s="109"/>
      <c r="R137" s="151">
        <v>45075</v>
      </c>
      <c r="S137" s="151" t="s">
        <v>58</v>
      </c>
      <c r="T137" s="151" t="s">
        <v>58</v>
      </c>
      <c r="U137" s="152" t="s">
        <v>3638</v>
      </c>
      <c r="V137" s="164" t="s">
        <v>3635</v>
      </c>
      <c r="W137" s="162">
        <v>1.9961</v>
      </c>
      <c r="X137" s="163">
        <f>W137*I137</f>
        <v>503.0172</v>
      </c>
      <c r="Y137" s="109"/>
      <c r="Z137" s="176" t="s">
        <v>53</v>
      </c>
      <c r="AA137" s="176" t="s">
        <v>54</v>
      </c>
      <c r="AB137" s="109"/>
      <c r="AC137" s="137"/>
      <c r="AD137" s="180"/>
      <c r="AE137" s="180"/>
      <c r="AF137" s="109" t="s">
        <v>58</v>
      </c>
      <c r="AG137" s="109"/>
      <c r="AI137" s="7">
        <f>I137</f>
        <v>252</v>
      </c>
      <c r="AM137" s="7">
        <f t="shared" ref="AM137:AM140" si="95">I137</f>
        <v>252</v>
      </c>
      <c r="AO137" s="7">
        <f>I137</f>
        <v>252</v>
      </c>
      <c r="AR137" s="189"/>
      <c r="AS137" s="189"/>
      <c r="BA137" s="7">
        <f>I137/18</f>
        <v>14</v>
      </c>
    </row>
    <row r="138" s="7" customFormat="1" ht="31" customHeight="1" spans="1:53">
      <c r="A138" s="120">
        <v>45064</v>
      </c>
      <c r="B138" s="121" t="s">
        <v>3630</v>
      </c>
      <c r="C138" s="122" t="s">
        <v>716</v>
      </c>
      <c r="D138" s="123">
        <v>4500101899</v>
      </c>
      <c r="E138" s="124">
        <v>3501525427</v>
      </c>
      <c r="F138" s="123" t="s">
        <v>3639</v>
      </c>
      <c r="G138" s="109" t="s">
        <v>3526</v>
      </c>
      <c r="H138" s="109" t="s">
        <v>3527</v>
      </c>
      <c r="I138" s="109">
        <v>828</v>
      </c>
      <c r="J138" s="109">
        <v>0</v>
      </c>
      <c r="K138" s="109">
        <v>18</v>
      </c>
      <c r="L138" s="138">
        <f t="shared" si="89"/>
        <v>46</v>
      </c>
      <c r="M138" s="139">
        <v>45114</v>
      </c>
      <c r="N138" s="139" t="s">
        <v>3632</v>
      </c>
      <c r="O138" s="140" t="s">
        <v>3637</v>
      </c>
      <c r="P138" s="140" t="s">
        <v>3548</v>
      </c>
      <c r="Q138" s="109"/>
      <c r="R138" s="151">
        <v>45075</v>
      </c>
      <c r="S138" s="151" t="s">
        <v>58</v>
      </c>
      <c r="T138" s="151" t="s">
        <v>58</v>
      </c>
      <c r="U138" s="152" t="s">
        <v>3638</v>
      </c>
      <c r="V138" s="164" t="s">
        <v>3635</v>
      </c>
      <c r="W138" s="162">
        <v>1.9961</v>
      </c>
      <c r="X138" s="163">
        <f>W138*I138</f>
        <v>1652.7708</v>
      </c>
      <c r="Y138" s="109"/>
      <c r="Z138" s="176" t="s">
        <v>53</v>
      </c>
      <c r="AA138" s="176" t="s">
        <v>54</v>
      </c>
      <c r="AB138" s="109"/>
      <c r="AC138" s="137"/>
      <c r="AD138" s="180"/>
      <c r="AE138" s="180"/>
      <c r="AF138" s="109" t="s">
        <v>58</v>
      </c>
      <c r="AG138" s="109"/>
      <c r="AI138" s="7">
        <f>I138</f>
        <v>828</v>
      </c>
      <c r="AM138" s="7">
        <f t="shared" si="95"/>
        <v>828</v>
      </c>
      <c r="AO138" s="7">
        <f>I138</f>
        <v>828</v>
      </c>
      <c r="AR138" s="189"/>
      <c r="AS138" s="189"/>
      <c r="BA138" s="7">
        <f>I138/18</f>
        <v>46</v>
      </c>
    </row>
    <row r="139" s="7" customFormat="1" ht="31" customHeight="1" spans="1:64">
      <c r="A139" s="111">
        <v>45085</v>
      </c>
      <c r="B139" s="112" t="s">
        <v>3640</v>
      </c>
      <c r="C139" s="114" t="s">
        <v>716</v>
      </c>
      <c r="D139" s="7">
        <v>4500106200</v>
      </c>
      <c r="E139" s="114" t="s">
        <v>3641</v>
      </c>
      <c r="F139" s="7" t="s">
        <v>3642</v>
      </c>
      <c r="G139" s="125" t="s">
        <v>3643</v>
      </c>
      <c r="H139" s="126" t="s">
        <v>3644</v>
      </c>
      <c r="I139" s="147">
        <v>43</v>
      </c>
      <c r="J139" s="148">
        <v>0</v>
      </c>
      <c r="K139" s="125">
        <v>1</v>
      </c>
      <c r="L139" s="147">
        <v>43</v>
      </c>
      <c r="M139" s="149">
        <v>45138</v>
      </c>
      <c r="N139" s="149" t="s">
        <v>3645</v>
      </c>
      <c r="O139" s="140"/>
      <c r="P139" s="109"/>
      <c r="R139" s="151" t="s">
        <v>49</v>
      </c>
      <c r="S139" s="151" t="s">
        <v>58</v>
      </c>
      <c r="T139" s="151" t="s">
        <v>58</v>
      </c>
      <c r="U139" s="127" t="s">
        <v>3646</v>
      </c>
      <c r="V139" s="113" t="s">
        <v>1775</v>
      </c>
      <c r="W139" s="165">
        <v>285.3936</v>
      </c>
      <c r="X139" s="165">
        <f>I139*W139</f>
        <v>12271.9248</v>
      </c>
      <c r="Y139" s="109"/>
      <c r="Z139" s="109" t="s">
        <v>3647</v>
      </c>
      <c r="AA139" s="176"/>
      <c r="AB139" s="109"/>
      <c r="AC139" s="180"/>
      <c r="AD139" s="180"/>
      <c r="AE139" s="180"/>
      <c r="AF139" s="109"/>
      <c r="AG139" s="109"/>
      <c r="AH139" s="187"/>
      <c r="BL139" s="7">
        <f>I139</f>
        <v>43</v>
      </c>
    </row>
    <row r="140" s="7" customFormat="1" ht="31" customHeight="1" spans="1:41">
      <c r="A140" s="111">
        <v>45085</v>
      </c>
      <c r="B140" s="112" t="s">
        <v>3640</v>
      </c>
      <c r="C140" s="114" t="s">
        <v>716</v>
      </c>
      <c r="D140" s="7">
        <v>4500106200</v>
      </c>
      <c r="E140" s="114" t="s">
        <v>3641</v>
      </c>
      <c r="F140" s="7" t="s">
        <v>3642</v>
      </c>
      <c r="G140" s="125">
        <v>77349</v>
      </c>
      <c r="H140" s="109" t="s">
        <v>3527</v>
      </c>
      <c r="I140" s="109">
        <v>2064</v>
      </c>
      <c r="J140" s="109">
        <v>0</v>
      </c>
      <c r="K140" s="109">
        <v>48</v>
      </c>
      <c r="L140" s="138">
        <f t="shared" ref="L140:L191" si="96">I140/K140</f>
        <v>43</v>
      </c>
      <c r="M140" s="149">
        <v>45138</v>
      </c>
      <c r="N140" s="149" t="s">
        <v>3645</v>
      </c>
      <c r="O140" s="140"/>
      <c r="P140" s="109"/>
      <c r="R140" s="151" t="s">
        <v>49</v>
      </c>
      <c r="S140" s="151" t="s">
        <v>58</v>
      </c>
      <c r="T140" s="151" t="s">
        <v>58</v>
      </c>
      <c r="U140" s="166"/>
      <c r="V140" s="113" t="s">
        <v>1775</v>
      </c>
      <c r="W140" s="165">
        <v>0</v>
      </c>
      <c r="X140" s="165">
        <v>0</v>
      </c>
      <c r="Y140" s="109"/>
      <c r="Z140" s="109" t="s">
        <v>3647</v>
      </c>
      <c r="AA140" s="176"/>
      <c r="AB140" s="109"/>
      <c r="AC140" s="180"/>
      <c r="AD140" s="180"/>
      <c r="AE140" s="180"/>
      <c r="AF140" s="109"/>
      <c r="AG140" s="109"/>
      <c r="AH140" s="187"/>
      <c r="AI140" s="7">
        <f>I140</f>
        <v>2064</v>
      </c>
      <c r="AL140" s="7">
        <v>1152</v>
      </c>
      <c r="AM140" s="7">
        <f t="shared" si="95"/>
        <v>2064</v>
      </c>
      <c r="AO140" s="7">
        <f>I140</f>
        <v>2064</v>
      </c>
    </row>
    <row r="141" s="7" customFormat="1" ht="28" customHeight="1" spans="1:93">
      <c r="A141" s="106">
        <v>45097</v>
      </c>
      <c r="B141" s="107" t="s">
        <v>1145</v>
      </c>
      <c r="C141" s="127" t="s">
        <v>84</v>
      </c>
      <c r="D141" s="7">
        <v>4500107022</v>
      </c>
      <c r="E141" s="119">
        <v>70027884</v>
      </c>
      <c r="F141" s="7" t="s">
        <v>3648</v>
      </c>
      <c r="G141" s="110" t="s">
        <v>3511</v>
      </c>
      <c r="H141" s="109" t="s">
        <v>3512</v>
      </c>
      <c r="I141" s="137">
        <v>608</v>
      </c>
      <c r="J141" s="109">
        <v>0</v>
      </c>
      <c r="K141" s="109">
        <v>16</v>
      </c>
      <c r="L141" s="138">
        <f t="shared" si="96"/>
        <v>38</v>
      </c>
      <c r="M141" s="139">
        <v>45141</v>
      </c>
      <c r="N141" s="139" t="s">
        <v>3649</v>
      </c>
      <c r="O141" s="140"/>
      <c r="P141" s="140"/>
      <c r="Q141" s="109"/>
      <c r="R141" s="151" t="s">
        <v>49</v>
      </c>
      <c r="S141" s="151" t="s">
        <v>58</v>
      </c>
      <c r="T141" s="151" t="s">
        <v>49</v>
      </c>
      <c r="U141" s="152" t="s">
        <v>3650</v>
      </c>
      <c r="V141" s="8" t="s">
        <v>1152</v>
      </c>
      <c r="W141" s="153">
        <v>4.0727</v>
      </c>
      <c r="X141" s="154">
        <f>I141*W141</f>
        <v>2476.2016</v>
      </c>
      <c r="Y141" s="109"/>
      <c r="Z141" s="110" t="s">
        <v>53</v>
      </c>
      <c r="AA141" s="176"/>
      <c r="AB141" s="109"/>
      <c r="AC141" s="109"/>
      <c r="AD141" s="177"/>
      <c r="AE141" s="109"/>
      <c r="AF141" s="109"/>
      <c r="AG141" s="109"/>
      <c r="AH141" s="7">
        <f>I141*2</f>
        <v>1216</v>
      </c>
      <c r="AJ141" s="9"/>
      <c r="AK141" s="9"/>
      <c r="AL141" s="9"/>
      <c r="AM141" s="9"/>
      <c r="AN141" s="7">
        <f>I141*2</f>
        <v>1216</v>
      </c>
      <c r="AO141" s="7">
        <f>AN141</f>
        <v>1216</v>
      </c>
      <c r="AP141" s="9"/>
      <c r="AQ141" s="9"/>
      <c r="AR141" s="189"/>
      <c r="AS141" s="189"/>
      <c r="AT141" s="189"/>
      <c r="AU141" s="189"/>
      <c r="AW141" s="7">
        <f>I141</f>
        <v>608</v>
      </c>
      <c r="AX141" s="7">
        <f>AW141</f>
        <v>608</v>
      </c>
      <c r="AY141" s="7">
        <f>AX141</f>
        <v>608</v>
      </c>
      <c r="BJ141" s="189"/>
      <c r="BL141" s="189"/>
      <c r="BT141" s="192" t="e">
        <f>$AH141*#REF!</f>
        <v>#REF!</v>
      </c>
      <c r="BU141" s="192" t="e">
        <f>$AH141*#REF!</f>
        <v>#REF!</v>
      </c>
      <c r="BV141" s="192" t="e">
        <f>$AH141*#REF!</f>
        <v>#REF!</v>
      </c>
      <c r="BW141" s="192" t="e">
        <f>$AH141*#REF!</f>
        <v>#REF!</v>
      </c>
      <c r="BX141" s="192" t="e">
        <f>$AH141*#REF!</f>
        <v>#REF!</v>
      </c>
      <c r="BY141" s="192" t="e">
        <f>$AH141*#REF!</f>
        <v>#REF!</v>
      </c>
      <c r="BZ141" s="192" t="e">
        <f>$AH141*#REF!</f>
        <v>#REF!</v>
      </c>
      <c r="CA141" s="192" t="e">
        <f>$AH141*#REF!</f>
        <v>#REF!</v>
      </c>
      <c r="CB141" s="192" t="e">
        <f>$AH141*#REF!</f>
        <v>#REF!</v>
      </c>
      <c r="CC141" s="192" t="e">
        <f>$AH141*#REF!</f>
        <v>#REF!</v>
      </c>
      <c r="CD141" s="192" t="e">
        <f>$AH141*#REF!</f>
        <v>#REF!</v>
      </c>
      <c r="CE141" s="192" t="e">
        <f>$AH141*#REF!</f>
        <v>#REF!</v>
      </c>
      <c r="CF141" s="192" t="e">
        <f>$AH141*#REF!</f>
        <v>#REF!</v>
      </c>
      <c r="CG141" s="192" t="e">
        <f>$AH141*#REF!</f>
        <v>#REF!</v>
      </c>
      <c r="CH141" s="192" t="e">
        <f>$AH141*#REF!</f>
        <v>#REF!</v>
      </c>
      <c r="CI141" s="192" t="e">
        <f>$AH141*#REF!</f>
        <v>#REF!</v>
      </c>
      <c r="CJ141" s="192" t="e">
        <f>$AH141*#REF!</f>
        <v>#REF!</v>
      </c>
      <c r="CK141" s="192" t="e">
        <f>$AH141*#REF!</f>
        <v>#REF!</v>
      </c>
      <c r="CL141" s="192" t="e">
        <f>$AH141*#REF!</f>
        <v>#REF!</v>
      </c>
      <c r="CM141" s="192" t="e">
        <f>$AH141*#REF!</f>
        <v>#REF!</v>
      </c>
      <c r="CN141" s="192" t="e">
        <f>$AH141*#REF!</f>
        <v>#REF!</v>
      </c>
      <c r="CO141" s="192"/>
    </row>
    <row r="142" s="7" customFormat="1" ht="31" customHeight="1" spans="1:58">
      <c r="A142" s="128">
        <v>45093</v>
      </c>
      <c r="B142" s="129" t="s">
        <v>1965</v>
      </c>
      <c r="C142" s="130" t="s">
        <v>600</v>
      </c>
      <c r="D142" s="131">
        <v>4500106695</v>
      </c>
      <c r="E142" s="130" t="s">
        <v>3651</v>
      </c>
      <c r="F142" s="131" t="s">
        <v>3652</v>
      </c>
      <c r="G142" s="109" t="s">
        <v>3612</v>
      </c>
      <c r="H142" s="109" t="s">
        <v>3613</v>
      </c>
      <c r="I142" s="109">
        <v>492</v>
      </c>
      <c r="J142" s="109">
        <v>0</v>
      </c>
      <c r="K142" s="109">
        <v>12</v>
      </c>
      <c r="L142" s="138">
        <f t="shared" si="96"/>
        <v>41</v>
      </c>
      <c r="M142" s="139">
        <v>45163</v>
      </c>
      <c r="N142" s="139" t="s">
        <v>3517</v>
      </c>
      <c r="O142" s="140"/>
      <c r="P142" s="109"/>
      <c r="R142" s="151" t="s">
        <v>3653</v>
      </c>
      <c r="S142" s="151" t="s">
        <v>48</v>
      </c>
      <c r="T142" s="151" t="s">
        <v>49</v>
      </c>
      <c r="U142" s="167" t="s">
        <v>3654</v>
      </c>
      <c r="V142" s="168" t="s">
        <v>1143</v>
      </c>
      <c r="W142" s="162">
        <v>4.2135</v>
      </c>
      <c r="X142" s="163">
        <f t="shared" ref="X142:X146" si="97">W142*I142</f>
        <v>2073.042</v>
      </c>
      <c r="Y142" s="109"/>
      <c r="Z142" s="109" t="s">
        <v>3655</v>
      </c>
      <c r="AA142" s="176"/>
      <c r="AB142" s="109"/>
      <c r="AC142" s="180"/>
      <c r="AD142" s="180"/>
      <c r="AE142" s="180"/>
      <c r="AF142" s="109"/>
      <c r="AG142" s="109"/>
      <c r="AH142" s="187"/>
      <c r="AI142" s="7">
        <f t="shared" ref="AI142:AI144" si="98">I142*2</f>
        <v>984</v>
      </c>
      <c r="AK142" s="8"/>
      <c r="AM142" s="7">
        <f t="shared" ref="AM142:AM144" si="99">I142*2</f>
        <v>984</v>
      </c>
      <c r="AO142" s="7">
        <f t="shared" ref="AO142:AO144" si="100">I142*2</f>
        <v>984</v>
      </c>
      <c r="BC142" s="7">
        <f t="shared" ref="BC142:BC144" si="101">I142</f>
        <v>492</v>
      </c>
      <c r="BE142" s="7">
        <f t="shared" ref="BE142:BE144" si="102">I142</f>
        <v>492</v>
      </c>
      <c r="BF142" s="7">
        <f t="shared" ref="BF142:BF144" si="103">I142</f>
        <v>492</v>
      </c>
    </row>
    <row r="143" s="7" customFormat="1" ht="31" customHeight="1" spans="1:58">
      <c r="A143" s="128">
        <v>45093</v>
      </c>
      <c r="B143" s="129" t="s">
        <v>1965</v>
      </c>
      <c r="C143" s="130" t="s">
        <v>600</v>
      </c>
      <c r="D143" s="131">
        <v>4500106695</v>
      </c>
      <c r="E143" s="130" t="s">
        <v>3656</v>
      </c>
      <c r="F143" s="131" t="s">
        <v>3657</v>
      </c>
      <c r="G143" s="109" t="s">
        <v>3612</v>
      </c>
      <c r="H143" s="109" t="s">
        <v>3613</v>
      </c>
      <c r="I143" s="109">
        <v>492</v>
      </c>
      <c r="J143" s="109">
        <v>0</v>
      </c>
      <c r="K143" s="109">
        <v>12</v>
      </c>
      <c r="L143" s="138">
        <f t="shared" si="96"/>
        <v>41</v>
      </c>
      <c r="M143" s="139">
        <v>45162</v>
      </c>
      <c r="N143" s="139" t="s">
        <v>3517</v>
      </c>
      <c r="O143" s="140"/>
      <c r="P143" s="109"/>
      <c r="R143" s="151" t="s">
        <v>3653</v>
      </c>
      <c r="S143" s="151" t="s">
        <v>48</v>
      </c>
      <c r="T143" s="151" t="s">
        <v>49</v>
      </c>
      <c r="U143" s="167" t="s">
        <v>3654</v>
      </c>
      <c r="V143" s="168" t="s">
        <v>1143</v>
      </c>
      <c r="W143" s="162">
        <v>4.2135</v>
      </c>
      <c r="X143" s="163">
        <f t="shared" si="97"/>
        <v>2073.042</v>
      </c>
      <c r="Y143" s="109"/>
      <c r="Z143" s="109" t="s">
        <v>3655</v>
      </c>
      <c r="AA143" s="176"/>
      <c r="AB143" s="109"/>
      <c r="AC143" s="180"/>
      <c r="AD143" s="180"/>
      <c r="AE143" s="180"/>
      <c r="AF143" s="109"/>
      <c r="AG143" s="109"/>
      <c r="AH143" s="187"/>
      <c r="AI143" s="7">
        <f t="shared" si="98"/>
        <v>984</v>
      </c>
      <c r="AK143" s="8"/>
      <c r="AM143" s="7">
        <f t="shared" si="99"/>
        <v>984</v>
      </c>
      <c r="AO143" s="7">
        <f t="shared" si="100"/>
        <v>984</v>
      </c>
      <c r="BC143" s="7">
        <f t="shared" si="101"/>
        <v>492</v>
      </c>
      <c r="BE143" s="7">
        <f t="shared" si="102"/>
        <v>492</v>
      </c>
      <c r="BF143" s="7">
        <f t="shared" si="103"/>
        <v>492</v>
      </c>
    </row>
    <row r="144" s="7" customFormat="1" ht="31" customHeight="1" spans="1:58">
      <c r="A144" s="128">
        <v>45093</v>
      </c>
      <c r="B144" s="129" t="s">
        <v>1965</v>
      </c>
      <c r="C144" s="130" t="s">
        <v>600</v>
      </c>
      <c r="D144" s="131">
        <v>4500106695</v>
      </c>
      <c r="E144" s="130" t="s">
        <v>3658</v>
      </c>
      <c r="F144" s="131" t="s">
        <v>3659</v>
      </c>
      <c r="G144" s="109" t="s">
        <v>3612</v>
      </c>
      <c r="H144" s="109" t="s">
        <v>3613</v>
      </c>
      <c r="I144" s="109">
        <v>492</v>
      </c>
      <c r="J144" s="109">
        <v>0</v>
      </c>
      <c r="K144" s="109">
        <v>12</v>
      </c>
      <c r="L144" s="138">
        <f t="shared" si="96"/>
        <v>41</v>
      </c>
      <c r="M144" s="139">
        <v>45162</v>
      </c>
      <c r="N144" s="139" t="s">
        <v>3517</v>
      </c>
      <c r="O144" s="140"/>
      <c r="P144" s="109"/>
      <c r="R144" s="151" t="s">
        <v>3653</v>
      </c>
      <c r="S144" s="151" t="s">
        <v>48</v>
      </c>
      <c r="T144" s="151" t="s">
        <v>49</v>
      </c>
      <c r="U144" s="167" t="s">
        <v>3654</v>
      </c>
      <c r="V144" s="168" t="s">
        <v>1143</v>
      </c>
      <c r="W144" s="162">
        <v>4.2135</v>
      </c>
      <c r="X144" s="163">
        <f t="shared" si="97"/>
        <v>2073.042</v>
      </c>
      <c r="Y144" s="109"/>
      <c r="Z144" s="109" t="s">
        <v>3655</v>
      </c>
      <c r="AA144" s="176"/>
      <c r="AB144" s="109"/>
      <c r="AC144" s="180"/>
      <c r="AD144" s="180"/>
      <c r="AE144" s="180"/>
      <c r="AF144" s="109"/>
      <c r="AG144" s="109"/>
      <c r="AH144" s="187"/>
      <c r="AI144" s="7">
        <f t="shared" si="98"/>
        <v>984</v>
      </c>
      <c r="AK144" s="8"/>
      <c r="AM144" s="7">
        <f t="shared" si="99"/>
        <v>984</v>
      </c>
      <c r="AO144" s="7">
        <f t="shared" si="100"/>
        <v>984</v>
      </c>
      <c r="BC144" s="7">
        <f t="shared" si="101"/>
        <v>492</v>
      </c>
      <c r="BE144" s="7">
        <f t="shared" si="102"/>
        <v>492</v>
      </c>
      <c r="BF144" s="7">
        <f t="shared" si="103"/>
        <v>492</v>
      </c>
    </row>
    <row r="145" s="7" customFormat="1" ht="31" customHeight="1" spans="1:52">
      <c r="A145" s="111">
        <v>45093</v>
      </c>
      <c r="B145" s="112" t="s">
        <v>148</v>
      </c>
      <c r="C145" s="114" t="s">
        <v>149</v>
      </c>
      <c r="D145" s="7">
        <v>4500106743</v>
      </c>
      <c r="E145" s="114">
        <v>19527670</v>
      </c>
      <c r="F145" s="7" t="s">
        <v>3660</v>
      </c>
      <c r="G145" s="125" t="s">
        <v>3562</v>
      </c>
      <c r="H145" s="109" t="s">
        <v>3527</v>
      </c>
      <c r="I145" s="109">
        <v>1728</v>
      </c>
      <c r="J145" s="109">
        <v>0</v>
      </c>
      <c r="K145" s="109">
        <v>36</v>
      </c>
      <c r="L145" s="138">
        <f t="shared" si="96"/>
        <v>48</v>
      </c>
      <c r="M145" s="139">
        <v>45138</v>
      </c>
      <c r="N145" s="139" t="s">
        <v>3661</v>
      </c>
      <c r="O145" s="140"/>
      <c r="P145" s="109"/>
      <c r="R145" s="151">
        <v>45107</v>
      </c>
      <c r="S145" s="151" t="s">
        <v>48</v>
      </c>
      <c r="T145" s="151" t="s">
        <v>49</v>
      </c>
      <c r="U145" s="121" t="s">
        <v>3662</v>
      </c>
      <c r="V145" s="169" t="s">
        <v>3564</v>
      </c>
      <c r="W145" s="162">
        <v>2.0394</v>
      </c>
      <c r="X145" s="163">
        <f t="shared" si="97"/>
        <v>3524.0832</v>
      </c>
      <c r="Y145" s="109"/>
      <c r="Z145" s="109" t="s">
        <v>3562</v>
      </c>
      <c r="AA145" s="176"/>
      <c r="AB145" s="109"/>
      <c r="AC145" s="180"/>
      <c r="AD145" s="180"/>
      <c r="AE145" s="180"/>
      <c r="AF145" s="109"/>
      <c r="AG145" s="109"/>
      <c r="AH145" s="187"/>
      <c r="AI145" s="7">
        <f t="shared" ref="AI145:AI155" si="104">I145</f>
        <v>1728</v>
      </c>
      <c r="AK145" s="7">
        <f t="shared" ref="AK145:AK159" si="105">I145</f>
        <v>1728</v>
      </c>
      <c r="AM145" s="7">
        <f t="shared" ref="AM145:AM155" si="106">I145</f>
        <v>1728</v>
      </c>
      <c r="AZ145" s="7">
        <f t="shared" ref="AZ145:AZ155" si="107">I145/18</f>
        <v>96</v>
      </c>
    </row>
    <row r="146" s="7" customFormat="1" ht="31" customHeight="1" spans="1:52">
      <c r="A146" s="111">
        <v>45103</v>
      </c>
      <c r="B146" s="112" t="s">
        <v>148</v>
      </c>
      <c r="C146" s="114" t="s">
        <v>149</v>
      </c>
      <c r="D146" s="7">
        <v>4500107082</v>
      </c>
      <c r="E146" s="114">
        <v>19535337</v>
      </c>
      <c r="F146" s="7" t="s">
        <v>3663</v>
      </c>
      <c r="G146" s="125" t="s">
        <v>3562</v>
      </c>
      <c r="H146" s="109" t="s">
        <v>3527</v>
      </c>
      <c r="I146" s="109">
        <v>1944</v>
      </c>
      <c r="J146" s="109">
        <v>0</v>
      </c>
      <c r="K146" s="109">
        <v>36</v>
      </c>
      <c r="L146" s="138">
        <f t="shared" si="96"/>
        <v>54</v>
      </c>
      <c r="M146" s="139">
        <v>45145</v>
      </c>
      <c r="N146" s="139" t="s">
        <v>3661</v>
      </c>
      <c r="O146" s="140"/>
      <c r="P146" s="109"/>
      <c r="R146" s="151" t="s">
        <v>49</v>
      </c>
      <c r="S146" s="151" t="s">
        <v>48</v>
      </c>
      <c r="T146" s="151" t="s">
        <v>49</v>
      </c>
      <c r="U146" s="170" t="s">
        <v>3664</v>
      </c>
      <c r="V146" s="164" t="s">
        <v>3564</v>
      </c>
      <c r="W146" s="125">
        <v>2.0394</v>
      </c>
      <c r="X146" s="171">
        <f t="shared" si="97"/>
        <v>3964.5936</v>
      </c>
      <c r="Z146" s="109"/>
      <c r="AA146" s="176"/>
      <c r="AB146" s="109"/>
      <c r="AC146" s="180"/>
      <c r="AD146" s="180"/>
      <c r="AE146" s="180"/>
      <c r="AF146" s="109"/>
      <c r="AG146" s="109"/>
      <c r="AH146" s="187"/>
      <c r="AI146" s="7">
        <f t="shared" si="104"/>
        <v>1944</v>
      </c>
      <c r="AK146" s="8">
        <f t="shared" si="105"/>
        <v>1944</v>
      </c>
      <c r="AM146" s="7">
        <f t="shared" si="106"/>
        <v>1944</v>
      </c>
      <c r="AZ146" s="7">
        <f t="shared" si="107"/>
        <v>108</v>
      </c>
    </row>
    <row r="147" s="7" customFormat="1" ht="31" customHeight="1" spans="1:37">
      <c r="A147" s="111">
        <v>45124</v>
      </c>
      <c r="B147" s="112" t="s">
        <v>162</v>
      </c>
      <c r="C147" s="113" t="s">
        <v>84</v>
      </c>
      <c r="D147" s="7">
        <v>4500109043</v>
      </c>
      <c r="E147" s="114" t="s">
        <v>3665</v>
      </c>
      <c r="F147" s="7" t="s">
        <v>3666</v>
      </c>
      <c r="G147" s="115" t="s">
        <v>44</v>
      </c>
      <c r="H147" s="114" t="s">
        <v>45</v>
      </c>
      <c r="I147" s="114">
        <v>3116</v>
      </c>
      <c r="J147" s="114">
        <v>0</v>
      </c>
      <c r="K147" s="114">
        <v>4</v>
      </c>
      <c r="L147" s="141">
        <f t="shared" si="96"/>
        <v>779</v>
      </c>
      <c r="M147" s="139">
        <v>45176</v>
      </c>
      <c r="N147" s="53" t="s">
        <v>3667</v>
      </c>
      <c r="O147" s="140"/>
      <c r="P147" s="140"/>
      <c r="Q147" s="109"/>
      <c r="R147" s="155" t="s">
        <v>49</v>
      </c>
      <c r="S147" s="155" t="s">
        <v>48</v>
      </c>
      <c r="T147" s="155" t="s">
        <v>49</v>
      </c>
      <c r="U147" s="112" t="s">
        <v>3668</v>
      </c>
      <c r="V147" s="139" t="s">
        <v>3669</v>
      </c>
      <c r="W147" s="156">
        <v>7.6118</v>
      </c>
      <c r="X147" s="157">
        <f>I147*W147</f>
        <v>23718.3688</v>
      </c>
      <c r="Y147" s="109"/>
      <c r="Z147" s="115" t="s">
        <v>53</v>
      </c>
      <c r="AA147" s="176"/>
      <c r="AB147" s="109"/>
      <c r="AC147" s="181"/>
      <c r="AD147" s="181"/>
      <c r="AE147" s="137"/>
      <c r="AF147" s="182"/>
      <c r="AG147" s="109"/>
      <c r="AH147" s="8">
        <f>I147</f>
        <v>3116</v>
      </c>
      <c r="AI147" s="8"/>
      <c r="AJ147" s="8">
        <f>I147</f>
        <v>3116</v>
      </c>
      <c r="AK147" s="8">
        <f t="shared" si="105"/>
        <v>3116</v>
      </c>
    </row>
    <row r="148" s="7" customFormat="1" ht="31" customHeight="1" spans="1:52">
      <c r="A148" s="128">
        <v>45106</v>
      </c>
      <c r="B148" s="129" t="s">
        <v>1186</v>
      </c>
      <c r="C148" s="130" t="s">
        <v>84</v>
      </c>
      <c r="D148" s="131">
        <v>4500107580</v>
      </c>
      <c r="E148" s="130" t="s">
        <v>3670</v>
      </c>
      <c r="F148" s="131" t="s">
        <v>3671</v>
      </c>
      <c r="G148" s="125" t="s">
        <v>3557</v>
      </c>
      <c r="H148" s="109" t="s">
        <v>3558</v>
      </c>
      <c r="I148" s="109">
        <v>1080</v>
      </c>
      <c r="J148" s="109">
        <v>0</v>
      </c>
      <c r="K148" s="109">
        <v>1080</v>
      </c>
      <c r="L148" s="138">
        <f t="shared" si="96"/>
        <v>1</v>
      </c>
      <c r="M148" s="139">
        <v>45166</v>
      </c>
      <c r="N148" s="53" t="s">
        <v>3672</v>
      </c>
      <c r="O148" s="140" t="s">
        <v>3673</v>
      </c>
      <c r="P148" s="109"/>
      <c r="R148" s="151" t="s">
        <v>3674</v>
      </c>
      <c r="S148" s="151" t="s">
        <v>48</v>
      </c>
      <c r="T148" s="151">
        <v>45119</v>
      </c>
      <c r="U148" s="167" t="s">
        <v>3675</v>
      </c>
      <c r="V148" s="164" t="s">
        <v>207</v>
      </c>
      <c r="W148" s="162">
        <v>2161.0926</v>
      </c>
      <c r="X148" s="163">
        <f t="shared" ref="X148:X155" si="108">W148*L148</f>
        <v>2161.0926</v>
      </c>
      <c r="Y148" s="109"/>
      <c r="Z148" s="26" t="s">
        <v>53</v>
      </c>
      <c r="AA148" s="176"/>
      <c r="AB148" s="109"/>
      <c r="AC148" s="180"/>
      <c r="AD148" s="180"/>
      <c r="AE148" s="180"/>
      <c r="AF148" s="109"/>
      <c r="AG148" s="109"/>
      <c r="AH148" s="187"/>
      <c r="AI148" s="7">
        <f t="shared" si="104"/>
        <v>1080</v>
      </c>
      <c r="AK148" s="7">
        <f t="shared" si="105"/>
        <v>1080</v>
      </c>
      <c r="AL148" s="10"/>
      <c r="AM148" s="7">
        <f t="shared" si="106"/>
        <v>1080</v>
      </c>
      <c r="AZ148" s="7">
        <f t="shared" si="107"/>
        <v>60</v>
      </c>
    </row>
    <row r="149" s="7" customFormat="1" ht="31" customHeight="1" spans="1:52">
      <c r="A149" s="128">
        <v>45106</v>
      </c>
      <c r="B149" s="129" t="s">
        <v>1186</v>
      </c>
      <c r="C149" s="130" t="s">
        <v>84</v>
      </c>
      <c r="D149" s="131">
        <v>4500107580</v>
      </c>
      <c r="E149" s="130" t="s">
        <v>3676</v>
      </c>
      <c r="F149" s="131" t="s">
        <v>3677</v>
      </c>
      <c r="G149" s="125" t="s">
        <v>3557</v>
      </c>
      <c r="H149" s="109" t="s">
        <v>3558</v>
      </c>
      <c r="I149" s="109">
        <v>1080</v>
      </c>
      <c r="J149" s="109">
        <v>0</v>
      </c>
      <c r="K149" s="109">
        <v>1080</v>
      </c>
      <c r="L149" s="138">
        <f t="shared" si="96"/>
        <v>1</v>
      </c>
      <c r="M149" s="139">
        <v>45166</v>
      </c>
      <c r="N149" s="53" t="s">
        <v>3672</v>
      </c>
      <c r="O149" s="140" t="s">
        <v>3673</v>
      </c>
      <c r="P149" s="109"/>
      <c r="R149" s="151" t="s">
        <v>3674</v>
      </c>
      <c r="S149" s="151" t="s">
        <v>48</v>
      </c>
      <c r="T149" s="151">
        <v>45119</v>
      </c>
      <c r="U149" s="167" t="s">
        <v>3675</v>
      </c>
      <c r="V149" s="164" t="s">
        <v>207</v>
      </c>
      <c r="W149" s="162">
        <v>2161.0926</v>
      </c>
      <c r="X149" s="163">
        <f t="shared" si="108"/>
        <v>2161.0926</v>
      </c>
      <c r="Y149" s="109"/>
      <c r="Z149" s="26" t="s">
        <v>53</v>
      </c>
      <c r="AA149" s="176"/>
      <c r="AB149" s="109"/>
      <c r="AC149" s="180"/>
      <c r="AD149" s="180"/>
      <c r="AE149" s="180"/>
      <c r="AF149" s="109"/>
      <c r="AG149" s="109"/>
      <c r="AH149" s="187"/>
      <c r="AI149" s="7">
        <f t="shared" si="104"/>
        <v>1080</v>
      </c>
      <c r="AK149" s="7">
        <f t="shared" si="105"/>
        <v>1080</v>
      </c>
      <c r="AL149" s="10"/>
      <c r="AM149" s="7">
        <f t="shared" si="106"/>
        <v>1080</v>
      </c>
      <c r="AZ149" s="7">
        <f t="shared" si="107"/>
        <v>60</v>
      </c>
    </row>
    <row r="150" s="7" customFormat="1" ht="31" customHeight="1" spans="1:52">
      <c r="A150" s="128">
        <v>45106</v>
      </c>
      <c r="B150" s="129" t="s">
        <v>1186</v>
      </c>
      <c r="C150" s="130" t="s">
        <v>84</v>
      </c>
      <c r="D150" s="131">
        <v>4500107580</v>
      </c>
      <c r="E150" s="130" t="s">
        <v>3678</v>
      </c>
      <c r="F150" s="131" t="s">
        <v>3679</v>
      </c>
      <c r="G150" s="125" t="s">
        <v>3557</v>
      </c>
      <c r="H150" s="109" t="s">
        <v>3558</v>
      </c>
      <c r="I150" s="109">
        <v>1080</v>
      </c>
      <c r="J150" s="109">
        <v>0</v>
      </c>
      <c r="K150" s="109">
        <v>1080</v>
      </c>
      <c r="L150" s="138">
        <f t="shared" si="96"/>
        <v>1</v>
      </c>
      <c r="M150" s="139">
        <v>45166</v>
      </c>
      <c r="N150" s="53" t="s">
        <v>3672</v>
      </c>
      <c r="O150" s="140" t="s">
        <v>3673</v>
      </c>
      <c r="P150" s="109"/>
      <c r="R150" s="151" t="s">
        <v>3674</v>
      </c>
      <c r="S150" s="151" t="s">
        <v>48</v>
      </c>
      <c r="T150" s="151">
        <v>45119</v>
      </c>
      <c r="U150" s="167" t="s">
        <v>3675</v>
      </c>
      <c r="V150" s="164" t="s">
        <v>207</v>
      </c>
      <c r="W150" s="162">
        <v>2161.0926</v>
      </c>
      <c r="X150" s="163">
        <f t="shared" si="108"/>
        <v>2161.0926</v>
      </c>
      <c r="Y150" s="109"/>
      <c r="Z150" s="26" t="s">
        <v>53</v>
      </c>
      <c r="AA150" s="176"/>
      <c r="AB150" s="109"/>
      <c r="AC150" s="180"/>
      <c r="AD150" s="180"/>
      <c r="AE150" s="180"/>
      <c r="AF150" s="109"/>
      <c r="AG150" s="109"/>
      <c r="AH150" s="187"/>
      <c r="AI150" s="7">
        <f t="shared" si="104"/>
        <v>1080</v>
      </c>
      <c r="AK150" s="7">
        <f t="shared" si="105"/>
        <v>1080</v>
      </c>
      <c r="AL150" s="10"/>
      <c r="AM150" s="7">
        <f t="shared" si="106"/>
        <v>1080</v>
      </c>
      <c r="AZ150" s="7">
        <f t="shared" si="107"/>
        <v>60</v>
      </c>
    </row>
    <row r="151" s="7" customFormat="1" ht="31" customHeight="1" spans="1:52">
      <c r="A151" s="128">
        <v>45106</v>
      </c>
      <c r="B151" s="129" t="s">
        <v>1186</v>
      </c>
      <c r="C151" s="130" t="s">
        <v>84</v>
      </c>
      <c r="D151" s="131">
        <v>4500107580</v>
      </c>
      <c r="E151" s="130" t="s">
        <v>3680</v>
      </c>
      <c r="F151" s="131" t="s">
        <v>3681</v>
      </c>
      <c r="G151" s="125" t="s">
        <v>3557</v>
      </c>
      <c r="H151" s="109" t="s">
        <v>3558</v>
      </c>
      <c r="I151" s="109">
        <v>2160</v>
      </c>
      <c r="J151" s="109">
        <v>0</v>
      </c>
      <c r="K151" s="109">
        <v>1080</v>
      </c>
      <c r="L151" s="138">
        <f t="shared" si="96"/>
        <v>2</v>
      </c>
      <c r="M151" s="139">
        <v>45166</v>
      </c>
      <c r="N151" s="53" t="s">
        <v>3672</v>
      </c>
      <c r="O151" s="140" t="s">
        <v>3673</v>
      </c>
      <c r="P151" s="109"/>
      <c r="R151" s="151" t="s">
        <v>3674</v>
      </c>
      <c r="S151" s="151" t="s">
        <v>48</v>
      </c>
      <c r="T151" s="151">
        <v>45119</v>
      </c>
      <c r="U151" s="167" t="s">
        <v>3675</v>
      </c>
      <c r="V151" s="164" t="s">
        <v>207</v>
      </c>
      <c r="W151" s="162">
        <v>2161.0926</v>
      </c>
      <c r="X151" s="163">
        <f t="shared" si="108"/>
        <v>4322.1852</v>
      </c>
      <c r="Y151" s="109"/>
      <c r="Z151" s="26" t="s">
        <v>53</v>
      </c>
      <c r="AA151" s="176"/>
      <c r="AB151" s="109"/>
      <c r="AC151" s="180"/>
      <c r="AD151" s="180"/>
      <c r="AE151" s="180"/>
      <c r="AF151" s="109"/>
      <c r="AG151" s="109"/>
      <c r="AH151" s="187"/>
      <c r="AI151" s="7">
        <f t="shared" si="104"/>
        <v>2160</v>
      </c>
      <c r="AK151" s="7">
        <f t="shared" si="105"/>
        <v>2160</v>
      </c>
      <c r="AL151" s="10"/>
      <c r="AM151" s="7">
        <f t="shared" si="106"/>
        <v>2160</v>
      </c>
      <c r="AZ151" s="7">
        <f t="shared" si="107"/>
        <v>120</v>
      </c>
    </row>
    <row r="152" s="7" customFormat="1" ht="31" customHeight="1" spans="1:52">
      <c r="A152" s="128">
        <v>45106</v>
      </c>
      <c r="B152" s="129" t="s">
        <v>1186</v>
      </c>
      <c r="C152" s="130" t="s">
        <v>84</v>
      </c>
      <c r="D152" s="131">
        <v>4500107585</v>
      </c>
      <c r="E152" s="130" t="s">
        <v>3682</v>
      </c>
      <c r="F152" s="131" t="s">
        <v>3683</v>
      </c>
      <c r="G152" s="125" t="s">
        <v>3557</v>
      </c>
      <c r="H152" s="109" t="s">
        <v>3558</v>
      </c>
      <c r="I152" s="109">
        <v>1080</v>
      </c>
      <c r="J152" s="109">
        <v>0</v>
      </c>
      <c r="K152" s="109">
        <v>1080</v>
      </c>
      <c r="L152" s="138">
        <f t="shared" si="96"/>
        <v>1</v>
      </c>
      <c r="M152" s="139">
        <v>45180</v>
      </c>
      <c r="N152" s="53" t="s">
        <v>3672</v>
      </c>
      <c r="O152" s="140" t="s">
        <v>3684</v>
      </c>
      <c r="P152" s="109"/>
      <c r="R152" s="151" t="s">
        <v>3674</v>
      </c>
      <c r="S152" s="151" t="s">
        <v>48</v>
      </c>
      <c r="T152" s="151" t="s">
        <v>49</v>
      </c>
      <c r="U152" s="167" t="s">
        <v>3675</v>
      </c>
      <c r="V152" s="164" t="s">
        <v>207</v>
      </c>
      <c r="W152" s="162">
        <v>2161.0926</v>
      </c>
      <c r="X152" s="163">
        <f t="shared" si="108"/>
        <v>2161.0926</v>
      </c>
      <c r="Y152" s="109"/>
      <c r="Z152" s="26" t="s">
        <v>53</v>
      </c>
      <c r="AA152" s="176"/>
      <c r="AB152" s="109"/>
      <c r="AC152" s="180"/>
      <c r="AD152" s="180"/>
      <c r="AE152" s="180"/>
      <c r="AF152" s="109"/>
      <c r="AG152" s="109"/>
      <c r="AH152" s="187"/>
      <c r="AI152" s="7">
        <f t="shared" si="104"/>
        <v>1080</v>
      </c>
      <c r="AK152" s="7">
        <f t="shared" si="105"/>
        <v>1080</v>
      </c>
      <c r="AL152" s="10"/>
      <c r="AM152" s="7">
        <f t="shared" si="106"/>
        <v>1080</v>
      </c>
      <c r="AZ152" s="7">
        <f t="shared" si="107"/>
        <v>60</v>
      </c>
    </row>
    <row r="153" s="7" customFormat="1" ht="31" customHeight="1" spans="1:52">
      <c r="A153" s="128">
        <v>45106</v>
      </c>
      <c r="B153" s="129" t="s">
        <v>1186</v>
      </c>
      <c r="C153" s="130" t="s">
        <v>84</v>
      </c>
      <c r="D153" s="131">
        <v>4500107585</v>
      </c>
      <c r="E153" s="130" t="s">
        <v>3685</v>
      </c>
      <c r="F153" s="131" t="s">
        <v>3686</v>
      </c>
      <c r="G153" s="125" t="s">
        <v>3557</v>
      </c>
      <c r="H153" s="109" t="s">
        <v>3558</v>
      </c>
      <c r="I153" s="109">
        <v>1080</v>
      </c>
      <c r="J153" s="109">
        <v>0</v>
      </c>
      <c r="K153" s="109">
        <v>1080</v>
      </c>
      <c r="L153" s="138">
        <f t="shared" si="96"/>
        <v>1</v>
      </c>
      <c r="M153" s="139">
        <v>45180</v>
      </c>
      <c r="N153" s="53" t="s">
        <v>3672</v>
      </c>
      <c r="O153" s="140" t="s">
        <v>3684</v>
      </c>
      <c r="P153" s="109"/>
      <c r="R153" s="151" t="s">
        <v>3674</v>
      </c>
      <c r="S153" s="151" t="s">
        <v>48</v>
      </c>
      <c r="T153" s="151" t="s">
        <v>49</v>
      </c>
      <c r="U153" s="167" t="s">
        <v>3675</v>
      </c>
      <c r="V153" s="164" t="s">
        <v>207</v>
      </c>
      <c r="W153" s="162">
        <v>2161.0926</v>
      </c>
      <c r="X153" s="163">
        <f t="shared" si="108"/>
        <v>2161.0926</v>
      </c>
      <c r="Y153" s="109"/>
      <c r="Z153" s="26" t="s">
        <v>53</v>
      </c>
      <c r="AA153" s="176"/>
      <c r="AB153" s="109"/>
      <c r="AC153" s="180"/>
      <c r="AD153" s="180"/>
      <c r="AE153" s="180"/>
      <c r="AF153" s="109"/>
      <c r="AG153" s="109"/>
      <c r="AH153" s="187"/>
      <c r="AI153" s="7">
        <f t="shared" si="104"/>
        <v>1080</v>
      </c>
      <c r="AK153" s="7">
        <f t="shared" si="105"/>
        <v>1080</v>
      </c>
      <c r="AL153" s="10"/>
      <c r="AM153" s="7">
        <f t="shared" si="106"/>
        <v>1080</v>
      </c>
      <c r="AZ153" s="7">
        <f t="shared" si="107"/>
        <v>60</v>
      </c>
    </row>
    <row r="154" s="7" customFormat="1" ht="31" customHeight="1" spans="1:52">
      <c r="A154" s="128">
        <v>45106</v>
      </c>
      <c r="B154" s="129" t="s">
        <v>1186</v>
      </c>
      <c r="C154" s="130" t="s">
        <v>84</v>
      </c>
      <c r="D154" s="131">
        <v>4500107585</v>
      </c>
      <c r="E154" s="130" t="s">
        <v>3687</v>
      </c>
      <c r="F154" s="131" t="s">
        <v>3688</v>
      </c>
      <c r="G154" s="125" t="s">
        <v>3557</v>
      </c>
      <c r="H154" s="109" t="s">
        <v>3558</v>
      </c>
      <c r="I154" s="109">
        <v>1080</v>
      </c>
      <c r="J154" s="109">
        <v>0</v>
      </c>
      <c r="K154" s="109">
        <v>1080</v>
      </c>
      <c r="L154" s="138">
        <f t="shared" si="96"/>
        <v>1</v>
      </c>
      <c r="M154" s="139">
        <v>45180</v>
      </c>
      <c r="N154" s="53" t="s">
        <v>3672</v>
      </c>
      <c r="O154" s="140" t="s">
        <v>3689</v>
      </c>
      <c r="P154" s="109"/>
      <c r="R154" s="151" t="s">
        <v>3674</v>
      </c>
      <c r="S154" s="151" t="s">
        <v>48</v>
      </c>
      <c r="T154" s="151" t="s">
        <v>49</v>
      </c>
      <c r="U154" s="167" t="s">
        <v>3675</v>
      </c>
      <c r="V154" s="164" t="s">
        <v>207</v>
      </c>
      <c r="W154" s="162">
        <v>2161.0926</v>
      </c>
      <c r="X154" s="163">
        <f t="shared" si="108"/>
        <v>2161.0926</v>
      </c>
      <c r="Y154" s="109"/>
      <c r="Z154" s="26" t="s">
        <v>53</v>
      </c>
      <c r="AA154" s="176"/>
      <c r="AB154" s="109"/>
      <c r="AC154" s="180"/>
      <c r="AD154" s="180"/>
      <c r="AE154" s="180"/>
      <c r="AF154" s="109"/>
      <c r="AG154" s="109"/>
      <c r="AH154" s="187"/>
      <c r="AI154" s="7">
        <f t="shared" si="104"/>
        <v>1080</v>
      </c>
      <c r="AK154" s="7">
        <f t="shared" si="105"/>
        <v>1080</v>
      </c>
      <c r="AL154" s="10"/>
      <c r="AM154" s="7">
        <f t="shared" si="106"/>
        <v>1080</v>
      </c>
      <c r="AZ154" s="7">
        <f t="shared" si="107"/>
        <v>60</v>
      </c>
    </row>
    <row r="155" s="7" customFormat="1" ht="31" customHeight="1" spans="1:52">
      <c r="A155" s="128">
        <v>45106</v>
      </c>
      <c r="B155" s="129" t="s">
        <v>1186</v>
      </c>
      <c r="C155" s="130" t="s">
        <v>84</v>
      </c>
      <c r="D155" s="131">
        <v>4500107585</v>
      </c>
      <c r="E155" s="130" t="s">
        <v>3690</v>
      </c>
      <c r="F155" s="131" t="s">
        <v>3691</v>
      </c>
      <c r="G155" s="125" t="s">
        <v>3557</v>
      </c>
      <c r="H155" s="109" t="s">
        <v>3558</v>
      </c>
      <c r="I155" s="109">
        <v>1080</v>
      </c>
      <c r="J155" s="109">
        <v>0</v>
      </c>
      <c r="K155" s="109">
        <v>1080</v>
      </c>
      <c r="L155" s="138">
        <f t="shared" si="96"/>
        <v>1</v>
      </c>
      <c r="M155" s="139">
        <v>45180</v>
      </c>
      <c r="N155" s="53" t="s">
        <v>3672</v>
      </c>
      <c r="O155" s="140" t="s">
        <v>3684</v>
      </c>
      <c r="P155" s="109"/>
      <c r="R155" s="151" t="s">
        <v>3674</v>
      </c>
      <c r="S155" s="151" t="s">
        <v>48</v>
      </c>
      <c r="T155" s="151" t="s">
        <v>49</v>
      </c>
      <c r="U155" s="167" t="s">
        <v>3675</v>
      </c>
      <c r="V155" s="164" t="s">
        <v>207</v>
      </c>
      <c r="W155" s="162">
        <v>2161.0926</v>
      </c>
      <c r="X155" s="163">
        <f t="shared" si="108"/>
        <v>2161.0926</v>
      </c>
      <c r="Y155" s="109"/>
      <c r="Z155" s="26" t="s">
        <v>53</v>
      </c>
      <c r="AA155" s="176"/>
      <c r="AB155" s="109"/>
      <c r="AC155" s="180"/>
      <c r="AD155" s="180"/>
      <c r="AE155" s="180"/>
      <c r="AF155" s="109"/>
      <c r="AG155" s="109"/>
      <c r="AH155" s="187"/>
      <c r="AI155" s="7">
        <f t="shared" si="104"/>
        <v>1080</v>
      </c>
      <c r="AK155" s="7">
        <f t="shared" si="105"/>
        <v>1080</v>
      </c>
      <c r="AL155" s="10"/>
      <c r="AM155" s="7">
        <f t="shared" si="106"/>
        <v>1080</v>
      </c>
      <c r="AZ155" s="7">
        <f t="shared" si="107"/>
        <v>60</v>
      </c>
    </row>
    <row r="156" s="7" customFormat="1" ht="31" customHeight="1" spans="1:37">
      <c r="A156" s="128">
        <v>45145</v>
      </c>
      <c r="B156" s="129" t="s">
        <v>162</v>
      </c>
      <c r="C156" s="130" t="s">
        <v>84</v>
      </c>
      <c r="D156" s="131">
        <v>4500110632</v>
      </c>
      <c r="E156" s="114" t="s">
        <v>3692</v>
      </c>
      <c r="F156" s="131" t="s">
        <v>3693</v>
      </c>
      <c r="G156" s="115" t="s">
        <v>44</v>
      </c>
      <c r="H156" s="114" t="s">
        <v>45</v>
      </c>
      <c r="I156" s="114">
        <v>2200</v>
      </c>
      <c r="J156" s="114">
        <v>0</v>
      </c>
      <c r="K156" s="114">
        <v>4</v>
      </c>
      <c r="L156" s="141">
        <f t="shared" si="96"/>
        <v>550</v>
      </c>
      <c r="M156" s="139">
        <v>45196</v>
      </c>
      <c r="N156" s="139" t="s">
        <v>3694</v>
      </c>
      <c r="O156" s="140"/>
      <c r="P156" s="140"/>
      <c r="Q156" s="109"/>
      <c r="R156" s="155" t="s">
        <v>49</v>
      </c>
      <c r="S156" s="155" t="s">
        <v>48</v>
      </c>
      <c r="T156" s="155" t="s">
        <v>49</v>
      </c>
      <c r="U156" s="112" t="s">
        <v>3668</v>
      </c>
      <c r="V156" s="164" t="s">
        <v>3669</v>
      </c>
      <c r="W156" s="156">
        <v>7.3146</v>
      </c>
      <c r="X156" s="157">
        <f t="shared" ref="X156:X158" si="109">I156*W156</f>
        <v>16092.12</v>
      </c>
      <c r="Y156" s="109"/>
      <c r="Z156" s="114" t="s">
        <v>53</v>
      </c>
      <c r="AA156" s="176"/>
      <c r="AB156" s="109"/>
      <c r="AC156" s="181"/>
      <c r="AD156" s="181"/>
      <c r="AE156" s="137"/>
      <c r="AF156" s="182"/>
      <c r="AG156" s="109"/>
      <c r="AH156" s="8">
        <f t="shared" ref="AH156:AH158" si="110">I156</f>
        <v>2200</v>
      </c>
      <c r="AI156" s="8"/>
      <c r="AJ156" s="8">
        <f>I156</f>
        <v>2200</v>
      </c>
      <c r="AK156" s="8">
        <f t="shared" si="105"/>
        <v>2200</v>
      </c>
    </row>
    <row r="157" s="7" customFormat="1" ht="31" customHeight="1" spans="1:37">
      <c r="A157" s="128">
        <v>45145</v>
      </c>
      <c r="B157" s="129" t="s">
        <v>162</v>
      </c>
      <c r="C157" s="130" t="s">
        <v>84</v>
      </c>
      <c r="D157" s="131">
        <v>4500110634</v>
      </c>
      <c r="E157" s="114" t="s">
        <v>3695</v>
      </c>
      <c r="F157" s="131" t="s">
        <v>3696</v>
      </c>
      <c r="G157" s="115" t="s">
        <v>44</v>
      </c>
      <c r="H157" s="114" t="s">
        <v>45</v>
      </c>
      <c r="I157" s="114">
        <v>2052</v>
      </c>
      <c r="J157" s="114">
        <v>0</v>
      </c>
      <c r="K157" s="114">
        <v>4</v>
      </c>
      <c r="L157" s="141">
        <f t="shared" si="96"/>
        <v>513</v>
      </c>
      <c r="M157" s="139">
        <v>45191</v>
      </c>
      <c r="N157" s="139" t="s">
        <v>3694</v>
      </c>
      <c r="O157" s="140"/>
      <c r="P157" s="140"/>
      <c r="Q157" s="109"/>
      <c r="R157" s="155" t="s">
        <v>49</v>
      </c>
      <c r="S157" s="155" t="s">
        <v>48</v>
      </c>
      <c r="T157" s="155" t="s">
        <v>49</v>
      </c>
      <c r="U157" s="112" t="s">
        <v>3668</v>
      </c>
      <c r="V157" s="164" t="s">
        <v>168</v>
      </c>
      <c r="W157" s="156">
        <v>7.3146</v>
      </c>
      <c r="X157" s="157">
        <f t="shared" si="109"/>
        <v>15009.5592</v>
      </c>
      <c r="Y157" s="109"/>
      <c r="Z157" s="114" t="s">
        <v>53</v>
      </c>
      <c r="AA157" s="176" t="s">
        <v>55</v>
      </c>
      <c r="AB157" s="109"/>
      <c r="AC157" s="181"/>
      <c r="AD157" s="181"/>
      <c r="AE157" s="137"/>
      <c r="AF157" s="182"/>
      <c r="AG157" s="109"/>
      <c r="AH157" s="8">
        <f t="shared" si="110"/>
        <v>2052</v>
      </c>
      <c r="AI157" s="8"/>
      <c r="AJ157" s="8">
        <f>I157</f>
        <v>2052</v>
      </c>
      <c r="AK157" s="8">
        <f t="shared" si="105"/>
        <v>2052</v>
      </c>
    </row>
    <row r="158" s="7" customFormat="1" ht="31" customHeight="1" spans="1:37">
      <c r="A158" s="128">
        <v>45153</v>
      </c>
      <c r="B158" s="129" t="s">
        <v>162</v>
      </c>
      <c r="C158" s="130" t="s">
        <v>84</v>
      </c>
      <c r="D158" s="131">
        <v>4500111249</v>
      </c>
      <c r="E158" s="114" t="s">
        <v>3697</v>
      </c>
      <c r="F158" s="131" t="s">
        <v>3698</v>
      </c>
      <c r="G158" s="115" t="s">
        <v>44</v>
      </c>
      <c r="H158" s="114" t="s">
        <v>45</v>
      </c>
      <c r="I158" s="114">
        <v>2948</v>
      </c>
      <c r="J158" s="114">
        <v>0</v>
      </c>
      <c r="K158" s="114">
        <v>4</v>
      </c>
      <c r="L158" s="141">
        <f t="shared" si="96"/>
        <v>737</v>
      </c>
      <c r="M158" s="139">
        <v>45197</v>
      </c>
      <c r="N158" s="139" t="s">
        <v>3694</v>
      </c>
      <c r="O158" s="140"/>
      <c r="P158" s="140"/>
      <c r="Q158" s="109"/>
      <c r="R158" s="155" t="s">
        <v>49</v>
      </c>
      <c r="S158" s="155" t="s">
        <v>48</v>
      </c>
      <c r="T158" s="155" t="s">
        <v>49</v>
      </c>
      <c r="U158" s="112" t="s">
        <v>3668</v>
      </c>
      <c r="V158" s="164" t="s">
        <v>168</v>
      </c>
      <c r="W158" s="156">
        <v>7.3146</v>
      </c>
      <c r="X158" s="157">
        <f t="shared" si="109"/>
        <v>21563.4408</v>
      </c>
      <c r="Y158" s="109"/>
      <c r="Z158" s="115"/>
      <c r="AA158" s="176"/>
      <c r="AB158" s="109"/>
      <c r="AC158" s="181"/>
      <c r="AD158" s="181"/>
      <c r="AE158" s="137"/>
      <c r="AF158" s="182"/>
      <c r="AG158" s="109"/>
      <c r="AH158" s="8">
        <f t="shared" si="110"/>
        <v>2948</v>
      </c>
      <c r="AI158" s="8"/>
      <c r="AJ158" s="8"/>
      <c r="AK158" s="8">
        <f t="shared" si="105"/>
        <v>2948</v>
      </c>
    </row>
    <row r="159" s="7" customFormat="1" ht="31" customHeight="1" spans="1:53">
      <c r="A159" s="128">
        <v>45149</v>
      </c>
      <c r="B159" s="129" t="s">
        <v>162</v>
      </c>
      <c r="C159" s="130" t="s">
        <v>84</v>
      </c>
      <c r="D159" s="131">
        <v>4500111093</v>
      </c>
      <c r="E159" s="130" t="s">
        <v>3699</v>
      </c>
      <c r="F159" s="131" t="s">
        <v>3700</v>
      </c>
      <c r="G159" s="125" t="s">
        <v>3526</v>
      </c>
      <c r="H159" s="109" t="s">
        <v>3527</v>
      </c>
      <c r="I159" s="109">
        <v>8748</v>
      </c>
      <c r="J159" s="109">
        <v>0</v>
      </c>
      <c r="K159" s="109">
        <v>18</v>
      </c>
      <c r="L159" s="138">
        <f t="shared" si="96"/>
        <v>486</v>
      </c>
      <c r="M159" s="139">
        <v>45196</v>
      </c>
      <c r="N159" s="139" t="s">
        <v>3694</v>
      </c>
      <c r="O159" s="140"/>
      <c r="P159" s="109"/>
      <c r="R159" s="151" t="s">
        <v>49</v>
      </c>
      <c r="S159" s="151" t="s">
        <v>48</v>
      </c>
      <c r="T159" s="151" t="s">
        <v>49</v>
      </c>
      <c r="U159" s="167" t="s">
        <v>3701</v>
      </c>
      <c r="V159" s="164" t="s">
        <v>3669</v>
      </c>
      <c r="W159" s="162">
        <v>1.8813</v>
      </c>
      <c r="X159" s="163">
        <f t="shared" ref="X159:X182" si="111">W159*I159</f>
        <v>16457.6124</v>
      </c>
      <c r="Y159" s="109"/>
      <c r="Z159" s="109" t="s">
        <v>53</v>
      </c>
      <c r="AA159" s="176"/>
      <c r="AB159" s="109"/>
      <c r="AC159" s="180"/>
      <c r="AD159" s="180"/>
      <c r="AE159" s="180"/>
      <c r="AF159" s="109"/>
      <c r="AG159" s="109"/>
      <c r="AH159" s="187"/>
      <c r="AI159" s="7">
        <f>I159</f>
        <v>8748</v>
      </c>
      <c r="AK159" s="7">
        <f t="shared" si="105"/>
        <v>8748</v>
      </c>
      <c r="AL159" s="9"/>
      <c r="AM159" s="7">
        <f>I159</f>
        <v>8748</v>
      </c>
      <c r="BA159" s="7">
        <f>I159/18</f>
        <v>486</v>
      </c>
    </row>
    <row r="160" s="7" customFormat="1" ht="31" customHeight="1" spans="1:57">
      <c r="A160" s="128">
        <v>45142</v>
      </c>
      <c r="B160" s="129" t="s">
        <v>1354</v>
      </c>
      <c r="C160" s="130" t="s">
        <v>84</v>
      </c>
      <c r="D160" s="131">
        <v>4500110557</v>
      </c>
      <c r="E160" s="130" t="s">
        <v>3702</v>
      </c>
      <c r="F160" s="131" t="s">
        <v>3703</v>
      </c>
      <c r="G160" s="125" t="s">
        <v>3612</v>
      </c>
      <c r="H160" s="109" t="s">
        <v>3613</v>
      </c>
      <c r="I160" s="109">
        <v>120</v>
      </c>
      <c r="J160" s="109">
        <v>0</v>
      </c>
      <c r="K160" s="109">
        <v>12</v>
      </c>
      <c r="L160" s="138">
        <f t="shared" si="96"/>
        <v>10</v>
      </c>
      <c r="M160" s="139">
        <v>45175</v>
      </c>
      <c r="N160" s="53" t="s">
        <v>3704</v>
      </c>
      <c r="O160" s="140"/>
      <c r="P160" s="109"/>
      <c r="R160" s="151" t="s">
        <v>3705</v>
      </c>
      <c r="S160" s="151" t="s">
        <v>48</v>
      </c>
      <c r="T160" s="151">
        <v>45163</v>
      </c>
      <c r="U160" s="167" t="s">
        <v>3706</v>
      </c>
      <c r="V160" s="172" t="s">
        <v>195</v>
      </c>
      <c r="W160" s="162">
        <v>4.0355</v>
      </c>
      <c r="X160" s="163">
        <f t="shared" si="111"/>
        <v>484.26</v>
      </c>
      <c r="Y160" s="109"/>
      <c r="Z160" s="109" t="s">
        <v>53</v>
      </c>
      <c r="AA160" s="176" t="s">
        <v>54</v>
      </c>
      <c r="AB160" s="109"/>
      <c r="AC160" s="137"/>
      <c r="AD160" s="180"/>
      <c r="AE160" s="180"/>
      <c r="AF160" s="109"/>
      <c r="AG160" s="109"/>
      <c r="AH160" s="187"/>
      <c r="AI160" s="7">
        <f t="shared" ref="AI160:AI178" si="112">I160*2</f>
        <v>240</v>
      </c>
      <c r="AK160" s="8">
        <f t="shared" ref="AK160:AK178" si="113">I160*2</f>
        <v>240</v>
      </c>
      <c r="AL160" s="10"/>
      <c r="AM160" s="7">
        <f t="shared" ref="AM160:AM178" si="114">I160*2</f>
        <v>240</v>
      </c>
      <c r="BC160" s="7">
        <f t="shared" ref="BC160:BC178" si="115">I160</f>
        <v>120</v>
      </c>
      <c r="BD160" s="7">
        <f t="shared" ref="BD160:BD178" si="116">I160</f>
        <v>120</v>
      </c>
      <c r="BE160" s="7">
        <f t="shared" ref="BE160:BE178" si="117">I160</f>
        <v>120</v>
      </c>
    </row>
    <row r="161" s="7" customFormat="1" ht="31" customHeight="1" spans="1:57">
      <c r="A161" s="128">
        <v>45142</v>
      </c>
      <c r="B161" s="129" t="s">
        <v>1354</v>
      </c>
      <c r="C161" s="130" t="s">
        <v>84</v>
      </c>
      <c r="D161" s="131">
        <v>4500110557</v>
      </c>
      <c r="E161" s="130" t="s">
        <v>3702</v>
      </c>
      <c r="F161" s="131" t="s">
        <v>3707</v>
      </c>
      <c r="G161" s="125" t="s">
        <v>3612</v>
      </c>
      <c r="H161" s="109" t="s">
        <v>3613</v>
      </c>
      <c r="I161" s="109">
        <v>132</v>
      </c>
      <c r="J161" s="109">
        <v>0</v>
      </c>
      <c r="K161" s="109">
        <v>12</v>
      </c>
      <c r="L161" s="138">
        <f t="shared" si="96"/>
        <v>11</v>
      </c>
      <c r="M161" s="139">
        <v>45175</v>
      </c>
      <c r="N161" s="53" t="s">
        <v>3704</v>
      </c>
      <c r="O161" s="140"/>
      <c r="P161" s="109"/>
      <c r="R161" s="151" t="s">
        <v>3705</v>
      </c>
      <c r="S161" s="151" t="s">
        <v>48</v>
      </c>
      <c r="T161" s="151">
        <v>45163</v>
      </c>
      <c r="U161" s="167" t="s">
        <v>3706</v>
      </c>
      <c r="V161" s="172" t="s">
        <v>195</v>
      </c>
      <c r="W161" s="162">
        <v>4.0355</v>
      </c>
      <c r="X161" s="163">
        <f t="shared" si="111"/>
        <v>532.686</v>
      </c>
      <c r="Y161" s="109"/>
      <c r="Z161" s="109" t="s">
        <v>53</v>
      </c>
      <c r="AA161" s="176" t="s">
        <v>54</v>
      </c>
      <c r="AB161" s="109"/>
      <c r="AC161" s="137"/>
      <c r="AD161" s="180"/>
      <c r="AE161" s="180"/>
      <c r="AF161" s="109"/>
      <c r="AG161" s="109"/>
      <c r="AH161" s="187"/>
      <c r="AI161" s="7">
        <f t="shared" si="112"/>
        <v>264</v>
      </c>
      <c r="AK161" s="8">
        <f t="shared" si="113"/>
        <v>264</v>
      </c>
      <c r="AL161" s="10"/>
      <c r="AM161" s="7">
        <f t="shared" si="114"/>
        <v>264</v>
      </c>
      <c r="BC161" s="7">
        <f t="shared" si="115"/>
        <v>132</v>
      </c>
      <c r="BD161" s="7">
        <f t="shared" si="116"/>
        <v>132</v>
      </c>
      <c r="BE161" s="7">
        <f t="shared" si="117"/>
        <v>132</v>
      </c>
    </row>
    <row r="162" s="7" customFormat="1" ht="31" customHeight="1" spans="1:57">
      <c r="A162" s="128">
        <v>45142</v>
      </c>
      <c r="B162" s="129" t="s">
        <v>1354</v>
      </c>
      <c r="C162" s="130" t="s">
        <v>84</v>
      </c>
      <c r="D162" s="131">
        <v>4500110557</v>
      </c>
      <c r="E162" s="130" t="s">
        <v>3702</v>
      </c>
      <c r="F162" s="131" t="s">
        <v>3708</v>
      </c>
      <c r="G162" s="125" t="s">
        <v>3612</v>
      </c>
      <c r="H162" s="109" t="s">
        <v>3613</v>
      </c>
      <c r="I162" s="109">
        <v>132</v>
      </c>
      <c r="J162" s="109">
        <v>0</v>
      </c>
      <c r="K162" s="109">
        <v>12</v>
      </c>
      <c r="L162" s="138">
        <f t="shared" si="96"/>
        <v>11</v>
      </c>
      <c r="M162" s="139">
        <v>45175</v>
      </c>
      <c r="N162" s="53" t="s">
        <v>3704</v>
      </c>
      <c r="O162" s="140"/>
      <c r="P162" s="109"/>
      <c r="R162" s="151" t="s">
        <v>3705</v>
      </c>
      <c r="S162" s="151" t="s">
        <v>48</v>
      </c>
      <c r="T162" s="151">
        <v>45163</v>
      </c>
      <c r="U162" s="167" t="s">
        <v>3706</v>
      </c>
      <c r="V162" s="172" t="s">
        <v>195</v>
      </c>
      <c r="W162" s="162">
        <v>4.0355</v>
      </c>
      <c r="X162" s="163">
        <f t="shared" si="111"/>
        <v>532.686</v>
      </c>
      <c r="Y162" s="109"/>
      <c r="Z162" s="109" t="s">
        <v>53</v>
      </c>
      <c r="AA162" s="176" t="s">
        <v>54</v>
      </c>
      <c r="AB162" s="109"/>
      <c r="AC162" s="137"/>
      <c r="AD162" s="180"/>
      <c r="AE162" s="180"/>
      <c r="AF162" s="109"/>
      <c r="AG162" s="109"/>
      <c r="AH162" s="187"/>
      <c r="AI162" s="7">
        <f t="shared" si="112"/>
        <v>264</v>
      </c>
      <c r="AK162" s="8">
        <f t="shared" si="113"/>
        <v>264</v>
      </c>
      <c r="AL162" s="10"/>
      <c r="AM162" s="7">
        <f t="shared" si="114"/>
        <v>264</v>
      </c>
      <c r="BC162" s="7">
        <f t="shared" si="115"/>
        <v>132</v>
      </c>
      <c r="BD162" s="7">
        <f t="shared" si="116"/>
        <v>132</v>
      </c>
      <c r="BE162" s="7">
        <f t="shared" si="117"/>
        <v>132</v>
      </c>
    </row>
    <row r="163" s="7" customFormat="1" ht="31" customHeight="1" spans="1:57">
      <c r="A163" s="128">
        <v>45142</v>
      </c>
      <c r="B163" s="129" t="s">
        <v>1354</v>
      </c>
      <c r="C163" s="130" t="s">
        <v>84</v>
      </c>
      <c r="D163" s="131">
        <v>4500110557</v>
      </c>
      <c r="E163" s="130" t="s">
        <v>3702</v>
      </c>
      <c r="F163" s="131" t="s">
        <v>3709</v>
      </c>
      <c r="G163" s="125" t="s">
        <v>3612</v>
      </c>
      <c r="H163" s="109" t="s">
        <v>3613</v>
      </c>
      <c r="I163" s="109">
        <v>144</v>
      </c>
      <c r="J163" s="109">
        <v>0</v>
      </c>
      <c r="K163" s="109">
        <v>12</v>
      </c>
      <c r="L163" s="138">
        <f t="shared" si="96"/>
        <v>12</v>
      </c>
      <c r="M163" s="139">
        <v>45175</v>
      </c>
      <c r="N163" s="53" t="s">
        <v>3704</v>
      </c>
      <c r="O163" s="140"/>
      <c r="P163" s="109"/>
      <c r="R163" s="151" t="s">
        <v>3705</v>
      </c>
      <c r="S163" s="151" t="s">
        <v>48</v>
      </c>
      <c r="T163" s="151">
        <v>45163</v>
      </c>
      <c r="U163" s="167" t="s">
        <v>3706</v>
      </c>
      <c r="V163" s="172" t="s">
        <v>195</v>
      </c>
      <c r="W163" s="162">
        <v>4.0355</v>
      </c>
      <c r="X163" s="163">
        <f t="shared" si="111"/>
        <v>581.112</v>
      </c>
      <c r="Y163" s="109"/>
      <c r="Z163" s="109" t="s">
        <v>53</v>
      </c>
      <c r="AA163" s="176" t="s">
        <v>54</v>
      </c>
      <c r="AB163" s="109"/>
      <c r="AC163" s="137"/>
      <c r="AD163" s="180"/>
      <c r="AE163" s="180"/>
      <c r="AF163" s="109"/>
      <c r="AG163" s="109"/>
      <c r="AH163" s="187"/>
      <c r="AI163" s="7">
        <f t="shared" si="112"/>
        <v>288</v>
      </c>
      <c r="AK163" s="8">
        <f t="shared" si="113"/>
        <v>288</v>
      </c>
      <c r="AL163" s="10"/>
      <c r="AM163" s="7">
        <f t="shared" si="114"/>
        <v>288</v>
      </c>
      <c r="BC163" s="7">
        <f t="shared" si="115"/>
        <v>144</v>
      </c>
      <c r="BD163" s="7">
        <f t="shared" si="116"/>
        <v>144</v>
      </c>
      <c r="BE163" s="7">
        <f t="shared" si="117"/>
        <v>144</v>
      </c>
    </row>
    <row r="164" s="7" customFormat="1" ht="31" customHeight="1" spans="1:57">
      <c r="A164" s="128">
        <v>45142</v>
      </c>
      <c r="B164" s="129" t="s">
        <v>1354</v>
      </c>
      <c r="C164" s="130" t="s">
        <v>84</v>
      </c>
      <c r="D164" s="131">
        <v>4500110557</v>
      </c>
      <c r="E164" s="130" t="s">
        <v>3702</v>
      </c>
      <c r="F164" s="131" t="s">
        <v>3710</v>
      </c>
      <c r="G164" s="125" t="s">
        <v>3612</v>
      </c>
      <c r="H164" s="109" t="s">
        <v>3613</v>
      </c>
      <c r="I164" s="109">
        <v>108</v>
      </c>
      <c r="J164" s="109">
        <v>0</v>
      </c>
      <c r="K164" s="109">
        <v>12</v>
      </c>
      <c r="L164" s="138">
        <f t="shared" si="96"/>
        <v>9</v>
      </c>
      <c r="M164" s="139">
        <v>45175</v>
      </c>
      <c r="N164" s="53" t="s">
        <v>3704</v>
      </c>
      <c r="O164" s="140"/>
      <c r="P164" s="109"/>
      <c r="R164" s="151" t="s">
        <v>3705</v>
      </c>
      <c r="S164" s="151" t="s">
        <v>48</v>
      </c>
      <c r="T164" s="151">
        <v>45163</v>
      </c>
      <c r="U164" s="167" t="s">
        <v>3706</v>
      </c>
      <c r="V164" s="172" t="s">
        <v>195</v>
      </c>
      <c r="W164" s="162">
        <v>4.0355</v>
      </c>
      <c r="X164" s="163">
        <f t="shared" si="111"/>
        <v>435.834</v>
      </c>
      <c r="Y164" s="109"/>
      <c r="Z164" s="109" t="s">
        <v>53</v>
      </c>
      <c r="AA164" s="176" t="s">
        <v>54</v>
      </c>
      <c r="AB164" s="109"/>
      <c r="AC164" s="137"/>
      <c r="AD164" s="180"/>
      <c r="AE164" s="180"/>
      <c r="AF164" s="109"/>
      <c r="AG164" s="109"/>
      <c r="AH164" s="187"/>
      <c r="AI164" s="7">
        <f t="shared" si="112"/>
        <v>216</v>
      </c>
      <c r="AK164" s="8">
        <f t="shared" si="113"/>
        <v>216</v>
      </c>
      <c r="AL164" s="10"/>
      <c r="AM164" s="7">
        <f t="shared" si="114"/>
        <v>216</v>
      </c>
      <c r="BC164" s="7">
        <f t="shared" si="115"/>
        <v>108</v>
      </c>
      <c r="BD164" s="7">
        <f t="shared" si="116"/>
        <v>108</v>
      </c>
      <c r="BE164" s="7">
        <f t="shared" si="117"/>
        <v>108</v>
      </c>
    </row>
    <row r="165" s="7" customFormat="1" ht="31" customHeight="1" spans="1:57">
      <c r="A165" s="128">
        <v>45142</v>
      </c>
      <c r="B165" s="129" t="s">
        <v>1354</v>
      </c>
      <c r="C165" s="130" t="s">
        <v>84</v>
      </c>
      <c r="D165" s="131">
        <v>4500110557</v>
      </c>
      <c r="E165" s="130" t="s">
        <v>3702</v>
      </c>
      <c r="F165" s="131" t="s">
        <v>3711</v>
      </c>
      <c r="G165" s="125" t="s">
        <v>3612</v>
      </c>
      <c r="H165" s="109" t="s">
        <v>3613</v>
      </c>
      <c r="I165" s="109">
        <v>108</v>
      </c>
      <c r="J165" s="109">
        <v>0</v>
      </c>
      <c r="K165" s="109">
        <v>12</v>
      </c>
      <c r="L165" s="138">
        <f t="shared" si="96"/>
        <v>9</v>
      </c>
      <c r="M165" s="139">
        <v>45175</v>
      </c>
      <c r="N165" s="53" t="s">
        <v>3704</v>
      </c>
      <c r="O165" s="140"/>
      <c r="P165" s="109"/>
      <c r="R165" s="151" t="s">
        <v>3705</v>
      </c>
      <c r="S165" s="151" t="s">
        <v>48</v>
      </c>
      <c r="T165" s="151">
        <v>45163</v>
      </c>
      <c r="U165" s="167" t="s">
        <v>3706</v>
      </c>
      <c r="V165" s="172" t="s">
        <v>195</v>
      </c>
      <c r="W165" s="162">
        <v>4.0355</v>
      </c>
      <c r="X165" s="163">
        <f t="shared" si="111"/>
        <v>435.834</v>
      </c>
      <c r="Y165" s="109"/>
      <c r="Z165" s="109" t="s">
        <v>53</v>
      </c>
      <c r="AA165" s="176" t="s">
        <v>54</v>
      </c>
      <c r="AB165" s="109"/>
      <c r="AC165" s="180"/>
      <c r="AD165" s="180"/>
      <c r="AE165" s="180"/>
      <c r="AF165" s="109"/>
      <c r="AG165" s="109"/>
      <c r="AH165" s="187"/>
      <c r="AI165" s="7">
        <f t="shared" si="112"/>
        <v>216</v>
      </c>
      <c r="AK165" s="8">
        <f t="shared" si="113"/>
        <v>216</v>
      </c>
      <c r="AL165" s="10"/>
      <c r="AM165" s="7">
        <f t="shared" si="114"/>
        <v>216</v>
      </c>
      <c r="BC165" s="7">
        <f t="shared" si="115"/>
        <v>108</v>
      </c>
      <c r="BD165" s="7">
        <f t="shared" si="116"/>
        <v>108</v>
      </c>
      <c r="BE165" s="7">
        <f t="shared" si="117"/>
        <v>108</v>
      </c>
    </row>
    <row r="166" s="7" customFormat="1" ht="31" customHeight="1" spans="1:57">
      <c r="A166" s="128">
        <v>45142</v>
      </c>
      <c r="B166" s="129" t="s">
        <v>1354</v>
      </c>
      <c r="C166" s="130" t="s">
        <v>84</v>
      </c>
      <c r="D166" s="131">
        <v>4500110557</v>
      </c>
      <c r="E166" s="130" t="s">
        <v>3702</v>
      </c>
      <c r="F166" s="131" t="s">
        <v>3712</v>
      </c>
      <c r="G166" s="125" t="s">
        <v>3612</v>
      </c>
      <c r="H166" s="109" t="s">
        <v>3613</v>
      </c>
      <c r="I166" s="109">
        <v>132</v>
      </c>
      <c r="J166" s="109">
        <v>0</v>
      </c>
      <c r="K166" s="109">
        <v>12</v>
      </c>
      <c r="L166" s="138">
        <f t="shared" si="96"/>
        <v>11</v>
      </c>
      <c r="M166" s="139">
        <v>45175</v>
      </c>
      <c r="N166" s="53" t="s">
        <v>3704</v>
      </c>
      <c r="O166" s="140"/>
      <c r="P166" s="109"/>
      <c r="R166" s="151" t="s">
        <v>3705</v>
      </c>
      <c r="S166" s="151" t="s">
        <v>48</v>
      </c>
      <c r="T166" s="151">
        <v>45163</v>
      </c>
      <c r="U166" s="167" t="s">
        <v>3706</v>
      </c>
      <c r="V166" s="172" t="s">
        <v>195</v>
      </c>
      <c r="W166" s="162">
        <v>4.0355</v>
      </c>
      <c r="X166" s="163">
        <f t="shared" si="111"/>
        <v>532.686</v>
      </c>
      <c r="Y166" s="109"/>
      <c r="Z166" s="109" t="s">
        <v>53</v>
      </c>
      <c r="AA166" s="176" t="s">
        <v>54</v>
      </c>
      <c r="AB166" s="109"/>
      <c r="AC166" s="180"/>
      <c r="AD166" s="180"/>
      <c r="AE166" s="180"/>
      <c r="AF166" s="109"/>
      <c r="AG166" s="109"/>
      <c r="AH166" s="187"/>
      <c r="AI166" s="7">
        <f t="shared" si="112"/>
        <v>264</v>
      </c>
      <c r="AK166" s="8">
        <f t="shared" si="113"/>
        <v>264</v>
      </c>
      <c r="AL166" s="10"/>
      <c r="AM166" s="7">
        <f t="shared" si="114"/>
        <v>264</v>
      </c>
      <c r="BC166" s="7">
        <f t="shared" si="115"/>
        <v>132</v>
      </c>
      <c r="BD166" s="7">
        <f t="shared" si="116"/>
        <v>132</v>
      </c>
      <c r="BE166" s="7">
        <f t="shared" si="117"/>
        <v>132</v>
      </c>
    </row>
    <row r="167" s="7" customFormat="1" ht="31" customHeight="1" spans="1:57">
      <c r="A167" s="128">
        <v>45142</v>
      </c>
      <c r="B167" s="129" t="s">
        <v>1354</v>
      </c>
      <c r="C167" s="130" t="s">
        <v>84</v>
      </c>
      <c r="D167" s="131">
        <v>4500110557</v>
      </c>
      <c r="E167" s="130" t="s">
        <v>3702</v>
      </c>
      <c r="F167" s="131" t="s">
        <v>3713</v>
      </c>
      <c r="G167" s="125" t="s">
        <v>3612</v>
      </c>
      <c r="H167" s="109" t="s">
        <v>3613</v>
      </c>
      <c r="I167" s="109">
        <v>120</v>
      </c>
      <c r="J167" s="109">
        <v>0</v>
      </c>
      <c r="K167" s="109">
        <v>12</v>
      </c>
      <c r="L167" s="138">
        <f t="shared" si="96"/>
        <v>10</v>
      </c>
      <c r="M167" s="139">
        <v>45175</v>
      </c>
      <c r="N167" s="53" t="s">
        <v>3704</v>
      </c>
      <c r="O167" s="140"/>
      <c r="P167" s="109"/>
      <c r="R167" s="151" t="s">
        <v>3705</v>
      </c>
      <c r="S167" s="151" t="s">
        <v>48</v>
      </c>
      <c r="T167" s="151">
        <v>45163</v>
      </c>
      <c r="U167" s="167" t="s">
        <v>3706</v>
      </c>
      <c r="V167" s="172" t="s">
        <v>195</v>
      </c>
      <c r="W167" s="162">
        <v>4.0355</v>
      </c>
      <c r="X167" s="163">
        <f t="shared" si="111"/>
        <v>484.26</v>
      </c>
      <c r="Y167" s="109"/>
      <c r="Z167" s="109" t="s">
        <v>53</v>
      </c>
      <c r="AA167" s="176" t="s">
        <v>54</v>
      </c>
      <c r="AB167" s="109"/>
      <c r="AC167" s="180"/>
      <c r="AD167" s="180"/>
      <c r="AE167" s="180"/>
      <c r="AF167" s="109"/>
      <c r="AG167" s="109"/>
      <c r="AH167" s="187"/>
      <c r="AI167" s="7">
        <f t="shared" si="112"/>
        <v>240</v>
      </c>
      <c r="AK167" s="8">
        <f t="shared" si="113"/>
        <v>240</v>
      </c>
      <c r="AL167" s="10"/>
      <c r="AM167" s="7">
        <f t="shared" si="114"/>
        <v>240</v>
      </c>
      <c r="BC167" s="7">
        <f t="shared" si="115"/>
        <v>120</v>
      </c>
      <c r="BD167" s="7">
        <f t="shared" si="116"/>
        <v>120</v>
      </c>
      <c r="BE167" s="7">
        <f t="shared" si="117"/>
        <v>120</v>
      </c>
    </row>
    <row r="168" s="7" customFormat="1" ht="31" customHeight="1" spans="1:57">
      <c r="A168" s="128">
        <v>45142</v>
      </c>
      <c r="B168" s="129" t="s">
        <v>1354</v>
      </c>
      <c r="C168" s="130" t="s">
        <v>84</v>
      </c>
      <c r="D168" s="131">
        <v>4500110557</v>
      </c>
      <c r="E168" s="130" t="s">
        <v>3702</v>
      </c>
      <c r="F168" s="131" t="s">
        <v>3714</v>
      </c>
      <c r="G168" s="125" t="s">
        <v>3612</v>
      </c>
      <c r="H168" s="109" t="s">
        <v>3613</v>
      </c>
      <c r="I168" s="109">
        <v>108</v>
      </c>
      <c r="J168" s="109">
        <v>0</v>
      </c>
      <c r="K168" s="109">
        <v>12</v>
      </c>
      <c r="L168" s="138">
        <f t="shared" si="96"/>
        <v>9</v>
      </c>
      <c r="M168" s="139">
        <v>45175</v>
      </c>
      <c r="N168" s="53" t="s">
        <v>3704</v>
      </c>
      <c r="O168" s="140"/>
      <c r="P168" s="109"/>
      <c r="R168" s="151" t="s">
        <v>3705</v>
      </c>
      <c r="S168" s="151" t="s">
        <v>48</v>
      </c>
      <c r="T168" s="151">
        <v>45163</v>
      </c>
      <c r="U168" s="167" t="s">
        <v>3706</v>
      </c>
      <c r="V168" s="172" t="s">
        <v>195</v>
      </c>
      <c r="W168" s="162">
        <v>4.0355</v>
      </c>
      <c r="X168" s="163">
        <f t="shared" si="111"/>
        <v>435.834</v>
      </c>
      <c r="Y168" s="109"/>
      <c r="Z168" s="109" t="s">
        <v>53</v>
      </c>
      <c r="AA168" s="176" t="s">
        <v>54</v>
      </c>
      <c r="AB168" s="109"/>
      <c r="AC168" s="180"/>
      <c r="AD168" s="180"/>
      <c r="AE168" s="180"/>
      <c r="AF168" s="109"/>
      <c r="AG168" s="109"/>
      <c r="AH168" s="187"/>
      <c r="AI168" s="7">
        <f t="shared" si="112"/>
        <v>216</v>
      </c>
      <c r="AK168" s="8">
        <f t="shared" si="113"/>
        <v>216</v>
      </c>
      <c r="AL168" s="10"/>
      <c r="AM168" s="7">
        <f t="shared" si="114"/>
        <v>216</v>
      </c>
      <c r="BC168" s="7">
        <f t="shared" si="115"/>
        <v>108</v>
      </c>
      <c r="BD168" s="7">
        <f t="shared" si="116"/>
        <v>108</v>
      </c>
      <c r="BE168" s="7">
        <f t="shared" si="117"/>
        <v>108</v>
      </c>
    </row>
    <row r="169" s="7" customFormat="1" ht="31" customHeight="1" spans="1:57">
      <c r="A169" s="128">
        <v>45142</v>
      </c>
      <c r="B169" s="129" t="s">
        <v>1354</v>
      </c>
      <c r="C169" s="130" t="s">
        <v>84</v>
      </c>
      <c r="D169" s="131">
        <v>4500110557</v>
      </c>
      <c r="E169" s="130" t="s">
        <v>3702</v>
      </c>
      <c r="F169" s="131" t="s">
        <v>3715</v>
      </c>
      <c r="G169" s="125" t="s">
        <v>3612</v>
      </c>
      <c r="H169" s="109" t="s">
        <v>3613</v>
      </c>
      <c r="I169" s="109">
        <v>132</v>
      </c>
      <c r="J169" s="109">
        <v>0</v>
      </c>
      <c r="K169" s="109">
        <v>12</v>
      </c>
      <c r="L169" s="138">
        <f t="shared" si="96"/>
        <v>11</v>
      </c>
      <c r="M169" s="139">
        <v>45175</v>
      </c>
      <c r="N169" s="53" t="s">
        <v>3704</v>
      </c>
      <c r="O169" s="140"/>
      <c r="P169" s="109"/>
      <c r="R169" s="151" t="s">
        <v>3705</v>
      </c>
      <c r="S169" s="151" t="s">
        <v>48</v>
      </c>
      <c r="T169" s="151">
        <v>45163</v>
      </c>
      <c r="U169" s="167" t="s">
        <v>3706</v>
      </c>
      <c r="V169" s="172" t="s">
        <v>195</v>
      </c>
      <c r="W169" s="162">
        <v>4.0355</v>
      </c>
      <c r="X169" s="163">
        <f t="shared" si="111"/>
        <v>532.686</v>
      </c>
      <c r="Y169" s="109"/>
      <c r="Z169" s="109" t="s">
        <v>53</v>
      </c>
      <c r="AA169" s="176" t="s">
        <v>54</v>
      </c>
      <c r="AB169" s="109"/>
      <c r="AC169" s="180"/>
      <c r="AD169" s="180"/>
      <c r="AE169" s="180"/>
      <c r="AF169" s="109"/>
      <c r="AG169" s="109"/>
      <c r="AH169" s="187"/>
      <c r="AI169" s="7">
        <f t="shared" si="112"/>
        <v>264</v>
      </c>
      <c r="AK169" s="8">
        <f t="shared" si="113"/>
        <v>264</v>
      </c>
      <c r="AL169" s="10"/>
      <c r="AM169" s="7">
        <f t="shared" si="114"/>
        <v>264</v>
      </c>
      <c r="BC169" s="7">
        <f t="shared" si="115"/>
        <v>132</v>
      </c>
      <c r="BD169" s="7">
        <f t="shared" si="116"/>
        <v>132</v>
      </c>
      <c r="BE169" s="7">
        <f t="shared" si="117"/>
        <v>132</v>
      </c>
    </row>
    <row r="170" s="7" customFormat="1" ht="31" customHeight="1" spans="1:57">
      <c r="A170" s="128">
        <v>45142</v>
      </c>
      <c r="B170" s="129" t="s">
        <v>1354</v>
      </c>
      <c r="C170" s="130" t="s">
        <v>84</v>
      </c>
      <c r="D170" s="131">
        <v>4500110557</v>
      </c>
      <c r="E170" s="130" t="s">
        <v>3702</v>
      </c>
      <c r="F170" s="131" t="s">
        <v>3716</v>
      </c>
      <c r="G170" s="125" t="s">
        <v>3612</v>
      </c>
      <c r="H170" s="109" t="s">
        <v>3613</v>
      </c>
      <c r="I170" s="109">
        <v>144</v>
      </c>
      <c r="J170" s="109">
        <v>0</v>
      </c>
      <c r="K170" s="109">
        <v>12</v>
      </c>
      <c r="L170" s="138">
        <f t="shared" si="96"/>
        <v>12</v>
      </c>
      <c r="M170" s="139">
        <v>45175</v>
      </c>
      <c r="N170" s="53" t="s">
        <v>3704</v>
      </c>
      <c r="O170" s="140"/>
      <c r="P170" s="109"/>
      <c r="R170" s="151" t="s">
        <v>3705</v>
      </c>
      <c r="S170" s="151" t="s">
        <v>48</v>
      </c>
      <c r="T170" s="151">
        <v>45163</v>
      </c>
      <c r="U170" s="167" t="s">
        <v>3706</v>
      </c>
      <c r="V170" s="172" t="s">
        <v>195</v>
      </c>
      <c r="W170" s="162">
        <v>4.0355</v>
      </c>
      <c r="X170" s="163">
        <f t="shared" si="111"/>
        <v>581.112</v>
      </c>
      <c r="Y170" s="109"/>
      <c r="Z170" s="109" t="s">
        <v>53</v>
      </c>
      <c r="AA170" s="176" t="s">
        <v>54</v>
      </c>
      <c r="AB170" s="109"/>
      <c r="AC170" s="180"/>
      <c r="AD170" s="180"/>
      <c r="AE170" s="180"/>
      <c r="AF170" s="109"/>
      <c r="AG170" s="109"/>
      <c r="AH170" s="187"/>
      <c r="AI170" s="7">
        <f t="shared" si="112"/>
        <v>288</v>
      </c>
      <c r="AK170" s="8">
        <f t="shared" si="113"/>
        <v>288</v>
      </c>
      <c r="AL170" s="10"/>
      <c r="AM170" s="7">
        <f t="shared" si="114"/>
        <v>288</v>
      </c>
      <c r="BC170" s="7">
        <f t="shared" si="115"/>
        <v>144</v>
      </c>
      <c r="BD170" s="7">
        <f t="shared" si="116"/>
        <v>144</v>
      </c>
      <c r="BE170" s="7">
        <f t="shared" si="117"/>
        <v>144</v>
      </c>
    </row>
    <row r="171" s="7" customFormat="1" ht="31" customHeight="1" spans="1:57">
      <c r="A171" s="128">
        <v>45142</v>
      </c>
      <c r="B171" s="129" t="s">
        <v>1354</v>
      </c>
      <c r="C171" s="130" t="s">
        <v>84</v>
      </c>
      <c r="D171" s="131">
        <v>4500110557</v>
      </c>
      <c r="E171" s="130" t="s">
        <v>3702</v>
      </c>
      <c r="F171" s="131" t="s">
        <v>3717</v>
      </c>
      <c r="G171" s="125" t="s">
        <v>3612</v>
      </c>
      <c r="H171" s="109" t="s">
        <v>3613</v>
      </c>
      <c r="I171" s="109">
        <v>132</v>
      </c>
      <c r="J171" s="109">
        <v>0</v>
      </c>
      <c r="K171" s="109">
        <v>12</v>
      </c>
      <c r="L171" s="138">
        <f t="shared" si="96"/>
        <v>11</v>
      </c>
      <c r="M171" s="139">
        <v>45175</v>
      </c>
      <c r="N171" s="53" t="s">
        <v>3704</v>
      </c>
      <c r="O171" s="140"/>
      <c r="P171" s="109"/>
      <c r="R171" s="151" t="s">
        <v>3705</v>
      </c>
      <c r="S171" s="151" t="s">
        <v>48</v>
      </c>
      <c r="T171" s="151">
        <v>45163</v>
      </c>
      <c r="U171" s="167" t="s">
        <v>3706</v>
      </c>
      <c r="V171" s="172" t="s">
        <v>195</v>
      </c>
      <c r="W171" s="162">
        <v>4.0355</v>
      </c>
      <c r="X171" s="163">
        <f t="shared" si="111"/>
        <v>532.686</v>
      </c>
      <c r="Y171" s="109"/>
      <c r="Z171" s="109" t="s">
        <v>53</v>
      </c>
      <c r="AA171" s="176" t="s">
        <v>54</v>
      </c>
      <c r="AB171" s="109"/>
      <c r="AC171" s="180"/>
      <c r="AD171" s="180"/>
      <c r="AE171" s="180"/>
      <c r="AF171" s="109"/>
      <c r="AG171" s="109"/>
      <c r="AH171" s="187"/>
      <c r="AI171" s="7">
        <f t="shared" si="112"/>
        <v>264</v>
      </c>
      <c r="AK171" s="8">
        <f t="shared" si="113"/>
        <v>264</v>
      </c>
      <c r="AL171" s="10"/>
      <c r="AM171" s="7">
        <f t="shared" si="114"/>
        <v>264</v>
      </c>
      <c r="BC171" s="7">
        <f t="shared" si="115"/>
        <v>132</v>
      </c>
      <c r="BD171" s="7">
        <f t="shared" si="116"/>
        <v>132</v>
      </c>
      <c r="BE171" s="7">
        <f t="shared" si="117"/>
        <v>132</v>
      </c>
    </row>
    <row r="172" s="7" customFormat="1" ht="31" customHeight="1" spans="1:57">
      <c r="A172" s="128">
        <v>45142</v>
      </c>
      <c r="B172" s="129" t="s">
        <v>1354</v>
      </c>
      <c r="C172" s="130" t="s">
        <v>84</v>
      </c>
      <c r="D172" s="131">
        <v>4500110409</v>
      </c>
      <c r="E172" s="130" t="s">
        <v>3718</v>
      </c>
      <c r="F172" s="131" t="s">
        <v>3719</v>
      </c>
      <c r="G172" s="125" t="s">
        <v>3612</v>
      </c>
      <c r="H172" s="109" t="s">
        <v>3613</v>
      </c>
      <c r="I172" s="109">
        <v>60</v>
      </c>
      <c r="J172" s="109">
        <v>0</v>
      </c>
      <c r="K172" s="109">
        <v>12</v>
      </c>
      <c r="L172" s="138">
        <f t="shared" si="96"/>
        <v>5</v>
      </c>
      <c r="M172" s="139">
        <v>45175</v>
      </c>
      <c r="N172" s="53" t="s">
        <v>3704</v>
      </c>
      <c r="O172" s="140"/>
      <c r="P172" s="109"/>
      <c r="R172" s="151" t="s">
        <v>3705</v>
      </c>
      <c r="S172" s="151" t="s">
        <v>48</v>
      </c>
      <c r="T172" s="151">
        <v>45163</v>
      </c>
      <c r="U172" s="167" t="s">
        <v>3720</v>
      </c>
      <c r="V172" s="172" t="s">
        <v>195</v>
      </c>
      <c r="W172" s="162">
        <v>4.0355</v>
      </c>
      <c r="X172" s="163">
        <f t="shared" si="111"/>
        <v>242.13</v>
      </c>
      <c r="Y172" s="109"/>
      <c r="Z172" s="109" t="s">
        <v>53</v>
      </c>
      <c r="AA172" s="176" t="s">
        <v>54</v>
      </c>
      <c r="AB172" s="109"/>
      <c r="AC172" s="180"/>
      <c r="AD172" s="180"/>
      <c r="AE172" s="180"/>
      <c r="AF172" s="109"/>
      <c r="AG172" s="109"/>
      <c r="AH172" s="187"/>
      <c r="AI172" s="7">
        <f t="shared" si="112"/>
        <v>120</v>
      </c>
      <c r="AK172" s="8">
        <f t="shared" si="113"/>
        <v>120</v>
      </c>
      <c r="AL172" s="10"/>
      <c r="AM172" s="7">
        <f t="shared" si="114"/>
        <v>120</v>
      </c>
      <c r="BC172" s="7">
        <f t="shared" si="115"/>
        <v>60</v>
      </c>
      <c r="BD172" s="7">
        <f t="shared" si="116"/>
        <v>60</v>
      </c>
      <c r="BE172" s="7">
        <f t="shared" si="117"/>
        <v>60</v>
      </c>
    </row>
    <row r="173" s="7" customFormat="1" ht="31" customHeight="1" spans="1:57">
      <c r="A173" s="128">
        <v>45142</v>
      </c>
      <c r="B173" s="129" t="s">
        <v>1354</v>
      </c>
      <c r="C173" s="130" t="s">
        <v>84</v>
      </c>
      <c r="D173" s="131">
        <v>4500110409</v>
      </c>
      <c r="E173" s="130" t="s">
        <v>3718</v>
      </c>
      <c r="F173" s="131" t="s">
        <v>3721</v>
      </c>
      <c r="G173" s="125" t="s">
        <v>3612</v>
      </c>
      <c r="H173" s="109" t="s">
        <v>3613</v>
      </c>
      <c r="I173" s="109">
        <v>108</v>
      </c>
      <c r="J173" s="109">
        <v>0</v>
      </c>
      <c r="K173" s="109">
        <v>12</v>
      </c>
      <c r="L173" s="138">
        <f t="shared" si="96"/>
        <v>9</v>
      </c>
      <c r="M173" s="139">
        <v>45175</v>
      </c>
      <c r="N173" s="53" t="s">
        <v>3704</v>
      </c>
      <c r="O173" s="140"/>
      <c r="P173" s="109"/>
      <c r="R173" s="151" t="s">
        <v>3705</v>
      </c>
      <c r="S173" s="151" t="s">
        <v>48</v>
      </c>
      <c r="T173" s="151">
        <v>45163</v>
      </c>
      <c r="U173" s="167" t="s">
        <v>3720</v>
      </c>
      <c r="V173" s="172" t="s">
        <v>195</v>
      </c>
      <c r="W173" s="162">
        <v>4.0355</v>
      </c>
      <c r="X173" s="163">
        <f t="shared" si="111"/>
        <v>435.834</v>
      </c>
      <c r="Y173" s="109"/>
      <c r="Z173" s="109" t="s">
        <v>53</v>
      </c>
      <c r="AA173" s="176" t="s">
        <v>54</v>
      </c>
      <c r="AB173" s="109"/>
      <c r="AC173" s="180"/>
      <c r="AD173" s="180"/>
      <c r="AE173" s="180"/>
      <c r="AF173" s="109"/>
      <c r="AG173" s="109"/>
      <c r="AH173" s="187"/>
      <c r="AI173" s="7">
        <f t="shared" si="112"/>
        <v>216</v>
      </c>
      <c r="AK173" s="8">
        <f t="shared" si="113"/>
        <v>216</v>
      </c>
      <c r="AL173" s="10"/>
      <c r="AM173" s="7">
        <f t="shared" si="114"/>
        <v>216</v>
      </c>
      <c r="BC173" s="7">
        <f t="shared" si="115"/>
        <v>108</v>
      </c>
      <c r="BD173" s="7">
        <f t="shared" si="116"/>
        <v>108</v>
      </c>
      <c r="BE173" s="7">
        <f t="shared" si="117"/>
        <v>108</v>
      </c>
    </row>
    <row r="174" s="7" customFormat="1" ht="31" customHeight="1" spans="1:57">
      <c r="A174" s="128">
        <v>45142</v>
      </c>
      <c r="B174" s="129" t="s">
        <v>1354</v>
      </c>
      <c r="C174" s="130" t="s">
        <v>84</v>
      </c>
      <c r="D174" s="131">
        <v>4500110409</v>
      </c>
      <c r="E174" s="130" t="s">
        <v>3718</v>
      </c>
      <c r="F174" s="131" t="s">
        <v>3722</v>
      </c>
      <c r="G174" s="125" t="s">
        <v>3612</v>
      </c>
      <c r="H174" s="109" t="s">
        <v>3613</v>
      </c>
      <c r="I174" s="109">
        <v>96</v>
      </c>
      <c r="J174" s="109">
        <v>0</v>
      </c>
      <c r="K174" s="109">
        <v>12</v>
      </c>
      <c r="L174" s="138">
        <f t="shared" si="96"/>
        <v>8</v>
      </c>
      <c r="M174" s="139">
        <v>45175</v>
      </c>
      <c r="N174" s="53" t="s">
        <v>3704</v>
      </c>
      <c r="O174" s="140"/>
      <c r="P174" s="109"/>
      <c r="R174" s="151" t="s">
        <v>3705</v>
      </c>
      <c r="S174" s="151" t="s">
        <v>48</v>
      </c>
      <c r="T174" s="151">
        <v>45163</v>
      </c>
      <c r="U174" s="167" t="s">
        <v>3720</v>
      </c>
      <c r="V174" s="172" t="s">
        <v>195</v>
      </c>
      <c r="W174" s="162">
        <v>4.0355</v>
      </c>
      <c r="X174" s="163">
        <f t="shared" si="111"/>
        <v>387.408</v>
      </c>
      <c r="Y174" s="109"/>
      <c r="Z174" s="109" t="s">
        <v>53</v>
      </c>
      <c r="AA174" s="176" t="s">
        <v>54</v>
      </c>
      <c r="AB174" s="109"/>
      <c r="AC174" s="180"/>
      <c r="AD174" s="180"/>
      <c r="AE174" s="180"/>
      <c r="AF174" s="109"/>
      <c r="AG174" s="109"/>
      <c r="AH174" s="187"/>
      <c r="AI174" s="7">
        <f t="shared" si="112"/>
        <v>192</v>
      </c>
      <c r="AK174" s="8">
        <f t="shared" si="113"/>
        <v>192</v>
      </c>
      <c r="AL174" s="10"/>
      <c r="AM174" s="7">
        <f t="shared" si="114"/>
        <v>192</v>
      </c>
      <c r="BC174" s="7">
        <f t="shared" si="115"/>
        <v>96</v>
      </c>
      <c r="BD174" s="7">
        <f t="shared" si="116"/>
        <v>96</v>
      </c>
      <c r="BE174" s="7">
        <f t="shared" si="117"/>
        <v>96</v>
      </c>
    </row>
    <row r="175" s="7" customFormat="1" ht="31" customHeight="1" spans="1:57">
      <c r="A175" s="128">
        <v>45142</v>
      </c>
      <c r="B175" s="129" t="s">
        <v>1354</v>
      </c>
      <c r="C175" s="130" t="s">
        <v>84</v>
      </c>
      <c r="D175" s="131">
        <v>4500110409</v>
      </c>
      <c r="E175" s="130" t="s">
        <v>3718</v>
      </c>
      <c r="F175" s="131" t="s">
        <v>3723</v>
      </c>
      <c r="G175" s="125" t="s">
        <v>3612</v>
      </c>
      <c r="H175" s="109" t="s">
        <v>3613</v>
      </c>
      <c r="I175" s="109">
        <v>108</v>
      </c>
      <c r="J175" s="109">
        <v>0</v>
      </c>
      <c r="K175" s="109">
        <v>12</v>
      </c>
      <c r="L175" s="138">
        <f t="shared" si="96"/>
        <v>9</v>
      </c>
      <c r="M175" s="139">
        <v>45175</v>
      </c>
      <c r="N175" s="53" t="s">
        <v>3704</v>
      </c>
      <c r="O175" s="140"/>
      <c r="P175" s="109"/>
      <c r="R175" s="151" t="s">
        <v>3705</v>
      </c>
      <c r="S175" s="151" t="s">
        <v>48</v>
      </c>
      <c r="T175" s="151">
        <v>45163</v>
      </c>
      <c r="U175" s="167" t="s">
        <v>3720</v>
      </c>
      <c r="V175" s="172" t="s">
        <v>195</v>
      </c>
      <c r="W175" s="162">
        <v>4.0355</v>
      </c>
      <c r="X175" s="163">
        <f t="shared" si="111"/>
        <v>435.834</v>
      </c>
      <c r="Y175" s="109"/>
      <c r="Z175" s="109" t="s">
        <v>53</v>
      </c>
      <c r="AA175" s="176" t="s">
        <v>54</v>
      </c>
      <c r="AB175" s="109"/>
      <c r="AC175" s="180"/>
      <c r="AD175" s="180"/>
      <c r="AE175" s="180"/>
      <c r="AF175" s="109"/>
      <c r="AG175" s="109"/>
      <c r="AH175" s="187"/>
      <c r="AI175" s="7">
        <f t="shared" si="112"/>
        <v>216</v>
      </c>
      <c r="AK175" s="8">
        <f t="shared" si="113"/>
        <v>216</v>
      </c>
      <c r="AL175" s="10"/>
      <c r="AM175" s="7">
        <f t="shared" si="114"/>
        <v>216</v>
      </c>
      <c r="BC175" s="7">
        <f t="shared" si="115"/>
        <v>108</v>
      </c>
      <c r="BD175" s="7">
        <f t="shared" si="116"/>
        <v>108</v>
      </c>
      <c r="BE175" s="7">
        <f t="shared" si="117"/>
        <v>108</v>
      </c>
    </row>
    <row r="176" s="7" customFormat="1" ht="31" customHeight="1" spans="1:57">
      <c r="A176" s="128">
        <v>45142</v>
      </c>
      <c r="B176" s="129" t="s">
        <v>1354</v>
      </c>
      <c r="C176" s="130" t="s">
        <v>84</v>
      </c>
      <c r="D176" s="131">
        <v>4500110409</v>
      </c>
      <c r="E176" s="130" t="s">
        <v>3718</v>
      </c>
      <c r="F176" s="131" t="s">
        <v>3724</v>
      </c>
      <c r="G176" s="125" t="s">
        <v>3612</v>
      </c>
      <c r="H176" s="109" t="s">
        <v>3613</v>
      </c>
      <c r="I176" s="109">
        <v>108</v>
      </c>
      <c r="J176" s="109">
        <v>0</v>
      </c>
      <c r="K176" s="109">
        <v>12</v>
      </c>
      <c r="L176" s="138">
        <f t="shared" si="96"/>
        <v>9</v>
      </c>
      <c r="M176" s="139">
        <v>45175</v>
      </c>
      <c r="N176" s="53" t="s">
        <v>3704</v>
      </c>
      <c r="O176" s="140"/>
      <c r="P176" s="109"/>
      <c r="R176" s="151" t="s">
        <v>3705</v>
      </c>
      <c r="S176" s="151" t="s">
        <v>48</v>
      </c>
      <c r="T176" s="151">
        <v>45163</v>
      </c>
      <c r="U176" s="167" t="s">
        <v>3720</v>
      </c>
      <c r="V176" s="172" t="s">
        <v>195</v>
      </c>
      <c r="W176" s="162">
        <v>4.0355</v>
      </c>
      <c r="X176" s="163">
        <f t="shared" si="111"/>
        <v>435.834</v>
      </c>
      <c r="Y176" s="109"/>
      <c r="Z176" s="109" t="s">
        <v>53</v>
      </c>
      <c r="AA176" s="176" t="s">
        <v>54</v>
      </c>
      <c r="AB176" s="109"/>
      <c r="AC176" s="180"/>
      <c r="AD176" s="180"/>
      <c r="AE176" s="180"/>
      <c r="AF176" s="109"/>
      <c r="AG176" s="109"/>
      <c r="AH176" s="187"/>
      <c r="AI176" s="7">
        <f t="shared" si="112"/>
        <v>216</v>
      </c>
      <c r="AK176" s="8">
        <f t="shared" si="113"/>
        <v>216</v>
      </c>
      <c r="AL176" s="10"/>
      <c r="AM176" s="7">
        <f t="shared" si="114"/>
        <v>216</v>
      </c>
      <c r="BC176" s="7">
        <f t="shared" si="115"/>
        <v>108</v>
      </c>
      <c r="BD176" s="7">
        <f t="shared" si="116"/>
        <v>108</v>
      </c>
      <c r="BE176" s="7">
        <f t="shared" si="117"/>
        <v>108</v>
      </c>
    </row>
    <row r="177" s="7" customFormat="1" ht="31" customHeight="1" spans="1:57">
      <c r="A177" s="128">
        <v>45142</v>
      </c>
      <c r="B177" s="129" t="s">
        <v>1354</v>
      </c>
      <c r="C177" s="130" t="s">
        <v>84</v>
      </c>
      <c r="D177" s="131">
        <v>4500110672</v>
      </c>
      <c r="E177" s="130" t="s">
        <v>3725</v>
      </c>
      <c r="F177" s="131" t="s">
        <v>3726</v>
      </c>
      <c r="G177" s="125" t="s">
        <v>3612</v>
      </c>
      <c r="H177" s="109" t="s">
        <v>3613</v>
      </c>
      <c r="I177" s="109">
        <v>144</v>
      </c>
      <c r="J177" s="109">
        <v>0</v>
      </c>
      <c r="K177" s="109">
        <v>12</v>
      </c>
      <c r="L177" s="138">
        <f t="shared" si="96"/>
        <v>12</v>
      </c>
      <c r="M177" s="139">
        <v>45175</v>
      </c>
      <c r="N177" s="139" t="s">
        <v>3649</v>
      </c>
      <c r="O177" s="140"/>
      <c r="P177" s="109"/>
      <c r="R177" s="151" t="s">
        <v>3705</v>
      </c>
      <c r="S177" s="151" t="s">
        <v>48</v>
      </c>
      <c r="T177" s="151">
        <v>45163</v>
      </c>
      <c r="U177" s="167" t="s">
        <v>3727</v>
      </c>
      <c r="V177" s="172" t="s">
        <v>195</v>
      </c>
      <c r="W177" s="162">
        <v>4.0355</v>
      </c>
      <c r="X177" s="163">
        <f t="shared" si="111"/>
        <v>581.112</v>
      </c>
      <c r="Y177" s="109">
        <v>0</v>
      </c>
      <c r="Z177" s="109">
        <f>Y177-I177</f>
        <v>-144</v>
      </c>
      <c r="AA177" s="176" t="s">
        <v>54</v>
      </c>
      <c r="AB177" s="109"/>
      <c r="AC177" s="137"/>
      <c r="AD177" s="137">
        <f>AC177-I177</f>
        <v>-144</v>
      </c>
      <c r="AE177" s="180"/>
      <c r="AF177" s="109"/>
      <c r="AG177" s="109"/>
      <c r="AH177" s="187"/>
      <c r="AI177" s="7">
        <f t="shared" si="112"/>
        <v>288</v>
      </c>
      <c r="AK177" s="8">
        <f t="shared" si="113"/>
        <v>288</v>
      </c>
      <c r="AL177" s="188"/>
      <c r="AM177" s="7">
        <f t="shared" si="114"/>
        <v>288</v>
      </c>
      <c r="BC177" s="7">
        <f t="shared" si="115"/>
        <v>144</v>
      </c>
      <c r="BD177" s="7">
        <f t="shared" si="116"/>
        <v>144</v>
      </c>
      <c r="BE177" s="7">
        <f t="shared" si="117"/>
        <v>144</v>
      </c>
    </row>
    <row r="178" s="7" customFormat="1" ht="31" customHeight="1" spans="1:57">
      <c r="A178" s="128">
        <v>45142</v>
      </c>
      <c r="B178" s="129" t="s">
        <v>1354</v>
      </c>
      <c r="C178" s="130" t="s">
        <v>84</v>
      </c>
      <c r="D178" s="131">
        <v>4500110672</v>
      </c>
      <c r="E178" s="130" t="s">
        <v>3725</v>
      </c>
      <c r="F178" s="131" t="s">
        <v>3728</v>
      </c>
      <c r="G178" s="125" t="s">
        <v>3612</v>
      </c>
      <c r="H178" s="109" t="s">
        <v>3613</v>
      </c>
      <c r="I178" s="109">
        <v>96</v>
      </c>
      <c r="J178" s="109">
        <v>0</v>
      </c>
      <c r="K178" s="109">
        <v>12</v>
      </c>
      <c r="L178" s="138">
        <f t="shared" si="96"/>
        <v>8</v>
      </c>
      <c r="M178" s="139">
        <v>45175</v>
      </c>
      <c r="N178" s="139" t="s">
        <v>3649</v>
      </c>
      <c r="O178" s="140"/>
      <c r="P178" s="109"/>
      <c r="R178" s="151" t="s">
        <v>3705</v>
      </c>
      <c r="S178" s="151" t="s">
        <v>48</v>
      </c>
      <c r="T178" s="151">
        <v>45163</v>
      </c>
      <c r="U178" s="167" t="s">
        <v>3727</v>
      </c>
      <c r="V178" s="172" t="s">
        <v>195</v>
      </c>
      <c r="W178" s="162">
        <v>4.0355</v>
      </c>
      <c r="X178" s="163">
        <f t="shared" si="111"/>
        <v>387.408</v>
      </c>
      <c r="Y178" s="109">
        <v>0</v>
      </c>
      <c r="Z178" s="109">
        <f>Y178-I178</f>
        <v>-96</v>
      </c>
      <c r="AA178" s="176" t="s">
        <v>54</v>
      </c>
      <c r="AB178" s="109"/>
      <c r="AC178" s="137"/>
      <c r="AD178" s="180"/>
      <c r="AE178" s="180"/>
      <c r="AF178" s="109"/>
      <c r="AG178" s="109"/>
      <c r="AH178" s="187"/>
      <c r="AI178" s="7">
        <f t="shared" si="112"/>
        <v>192</v>
      </c>
      <c r="AK178" s="8">
        <f t="shared" si="113"/>
        <v>192</v>
      </c>
      <c r="AL178" s="188"/>
      <c r="AM178" s="7">
        <f t="shared" si="114"/>
        <v>192</v>
      </c>
      <c r="BC178" s="7">
        <f t="shared" si="115"/>
        <v>96</v>
      </c>
      <c r="BD178" s="7">
        <f t="shared" si="116"/>
        <v>96</v>
      </c>
      <c r="BE178" s="7">
        <f t="shared" si="117"/>
        <v>96</v>
      </c>
    </row>
    <row r="179" s="7" customFormat="1" ht="31" customHeight="1" spans="1:52">
      <c r="A179" s="128">
        <v>45152</v>
      </c>
      <c r="B179" s="129" t="s">
        <v>498</v>
      </c>
      <c r="C179" s="130" t="s">
        <v>149</v>
      </c>
      <c r="D179" s="131">
        <v>4500111127</v>
      </c>
      <c r="E179" s="130">
        <v>47613686</v>
      </c>
      <c r="F179" s="131" t="s">
        <v>3729</v>
      </c>
      <c r="G179" s="125" t="s">
        <v>3562</v>
      </c>
      <c r="H179" s="109" t="s">
        <v>3527</v>
      </c>
      <c r="I179" s="109">
        <v>936</v>
      </c>
      <c r="J179" s="109">
        <v>0</v>
      </c>
      <c r="K179" s="109">
        <v>36</v>
      </c>
      <c r="L179" s="138">
        <f t="shared" si="96"/>
        <v>26</v>
      </c>
      <c r="M179" s="139">
        <v>45196</v>
      </c>
      <c r="N179" s="53" t="s">
        <v>3730</v>
      </c>
      <c r="O179" s="140"/>
      <c r="P179" s="109" t="s">
        <v>3731</v>
      </c>
      <c r="R179" s="151">
        <v>45173</v>
      </c>
      <c r="S179" s="151" t="s">
        <v>58</v>
      </c>
      <c r="T179" s="151" t="s">
        <v>3732</v>
      </c>
      <c r="U179" s="167" t="s">
        <v>3733</v>
      </c>
      <c r="V179" s="164" t="s">
        <v>3734</v>
      </c>
      <c r="W179" s="162">
        <v>1.9083</v>
      </c>
      <c r="X179" s="163">
        <f t="shared" si="111"/>
        <v>1786.1688</v>
      </c>
      <c r="Y179" s="109"/>
      <c r="Z179" s="26" t="s">
        <v>53</v>
      </c>
      <c r="AA179" s="176"/>
      <c r="AB179" s="109"/>
      <c r="AC179" s="137"/>
      <c r="AD179" s="137"/>
      <c r="AE179" s="180"/>
      <c r="AF179" s="109"/>
      <c r="AG179" s="109"/>
      <c r="AH179" s="187"/>
      <c r="AI179" s="7">
        <f t="shared" ref="AI179:AI182" si="118">I179</f>
        <v>936</v>
      </c>
      <c r="AK179" s="7">
        <f t="shared" ref="AK179:AK182" si="119">I179</f>
        <v>936</v>
      </c>
      <c r="AM179" s="7">
        <f t="shared" ref="AM179:AM187" si="120">I179</f>
        <v>936</v>
      </c>
      <c r="AZ179" s="7">
        <f t="shared" ref="AZ179:AZ182" si="121">I179/18</f>
        <v>52</v>
      </c>
    </row>
    <row r="180" s="7" customFormat="1" ht="31" customHeight="1" spans="1:52">
      <c r="A180" s="128">
        <v>45152</v>
      </c>
      <c r="B180" s="129" t="s">
        <v>498</v>
      </c>
      <c r="C180" s="130" t="s">
        <v>149</v>
      </c>
      <c r="D180" s="131">
        <v>4500111127</v>
      </c>
      <c r="E180" s="130">
        <v>47613687</v>
      </c>
      <c r="F180" s="131" t="s">
        <v>3735</v>
      </c>
      <c r="G180" s="125" t="s">
        <v>3562</v>
      </c>
      <c r="H180" s="109" t="s">
        <v>3527</v>
      </c>
      <c r="I180" s="109">
        <v>900</v>
      </c>
      <c r="J180" s="109">
        <v>0</v>
      </c>
      <c r="K180" s="109">
        <v>36</v>
      </c>
      <c r="L180" s="138">
        <f t="shared" si="96"/>
        <v>25</v>
      </c>
      <c r="M180" s="139">
        <v>45196</v>
      </c>
      <c r="N180" s="53" t="s">
        <v>3730</v>
      </c>
      <c r="O180" s="140"/>
      <c r="P180" s="109" t="s">
        <v>3731</v>
      </c>
      <c r="R180" s="151">
        <v>45173</v>
      </c>
      <c r="S180" s="151" t="s">
        <v>58</v>
      </c>
      <c r="T180" s="151" t="s">
        <v>3732</v>
      </c>
      <c r="U180" s="167" t="s">
        <v>3733</v>
      </c>
      <c r="V180" s="164" t="s">
        <v>3734</v>
      </c>
      <c r="W180" s="162">
        <v>1.9083</v>
      </c>
      <c r="X180" s="163">
        <f t="shared" si="111"/>
        <v>1717.47</v>
      </c>
      <c r="Y180" s="109"/>
      <c r="Z180" s="26" t="s">
        <v>53</v>
      </c>
      <c r="AA180" s="176"/>
      <c r="AB180" s="109"/>
      <c r="AC180" s="137"/>
      <c r="AD180" s="137"/>
      <c r="AE180" s="180"/>
      <c r="AF180" s="109"/>
      <c r="AG180" s="109"/>
      <c r="AH180" s="187"/>
      <c r="AI180" s="7">
        <f t="shared" si="118"/>
        <v>900</v>
      </c>
      <c r="AK180" s="7">
        <f t="shared" si="119"/>
        <v>900</v>
      </c>
      <c r="AM180" s="7">
        <f t="shared" si="120"/>
        <v>900</v>
      </c>
      <c r="AZ180" s="7">
        <f t="shared" si="121"/>
        <v>50</v>
      </c>
    </row>
    <row r="181" s="7" customFormat="1" ht="31" customHeight="1" spans="1:52">
      <c r="A181" s="128">
        <v>45152</v>
      </c>
      <c r="B181" s="129" t="s">
        <v>498</v>
      </c>
      <c r="C181" s="130" t="s">
        <v>149</v>
      </c>
      <c r="D181" s="131">
        <v>4500111127</v>
      </c>
      <c r="E181" s="130">
        <v>47613688</v>
      </c>
      <c r="F181" s="131" t="s">
        <v>3736</v>
      </c>
      <c r="G181" s="125" t="s">
        <v>3562</v>
      </c>
      <c r="H181" s="109" t="s">
        <v>3527</v>
      </c>
      <c r="I181" s="109">
        <v>828</v>
      </c>
      <c r="J181" s="109">
        <v>0</v>
      </c>
      <c r="K181" s="109">
        <v>36</v>
      </c>
      <c r="L181" s="138">
        <f t="shared" si="96"/>
        <v>23</v>
      </c>
      <c r="M181" s="139">
        <v>45196</v>
      </c>
      <c r="N181" s="53" t="s">
        <v>3730</v>
      </c>
      <c r="O181" s="140"/>
      <c r="P181" s="109" t="s">
        <v>3731</v>
      </c>
      <c r="R181" s="151">
        <v>45173</v>
      </c>
      <c r="S181" s="151" t="s">
        <v>58</v>
      </c>
      <c r="T181" s="151" t="s">
        <v>3732</v>
      </c>
      <c r="U181" s="167" t="s">
        <v>3733</v>
      </c>
      <c r="V181" s="164" t="s">
        <v>3734</v>
      </c>
      <c r="W181" s="162">
        <v>1.9083</v>
      </c>
      <c r="X181" s="163">
        <f t="shared" si="111"/>
        <v>1580.0724</v>
      </c>
      <c r="Y181" s="109"/>
      <c r="Z181" s="26" t="s">
        <v>53</v>
      </c>
      <c r="AA181" s="176"/>
      <c r="AB181" s="109"/>
      <c r="AC181" s="137"/>
      <c r="AD181" s="137"/>
      <c r="AE181" s="180"/>
      <c r="AF181" s="109"/>
      <c r="AG181" s="109"/>
      <c r="AH181" s="187"/>
      <c r="AI181" s="7">
        <f t="shared" si="118"/>
        <v>828</v>
      </c>
      <c r="AK181" s="7">
        <f t="shared" si="119"/>
        <v>828</v>
      </c>
      <c r="AM181" s="7">
        <f t="shared" si="120"/>
        <v>828</v>
      </c>
      <c r="AZ181" s="7">
        <f t="shared" si="121"/>
        <v>46</v>
      </c>
    </row>
    <row r="182" s="7" customFormat="1" ht="31" customHeight="1" spans="1:52">
      <c r="A182" s="128">
        <v>45152</v>
      </c>
      <c r="B182" s="129" t="s">
        <v>498</v>
      </c>
      <c r="C182" s="130" t="s">
        <v>149</v>
      </c>
      <c r="D182" s="131">
        <v>4500111127</v>
      </c>
      <c r="E182" s="130">
        <v>47613689</v>
      </c>
      <c r="F182" s="131" t="s">
        <v>3737</v>
      </c>
      <c r="G182" s="125" t="s">
        <v>3562</v>
      </c>
      <c r="H182" s="109" t="s">
        <v>3527</v>
      </c>
      <c r="I182" s="109">
        <v>396</v>
      </c>
      <c r="J182" s="109">
        <v>0</v>
      </c>
      <c r="K182" s="109">
        <v>36</v>
      </c>
      <c r="L182" s="138">
        <f t="shared" si="96"/>
        <v>11</v>
      </c>
      <c r="M182" s="139">
        <v>45196</v>
      </c>
      <c r="N182" s="53" t="s">
        <v>3730</v>
      </c>
      <c r="O182" s="140"/>
      <c r="P182" s="109" t="s">
        <v>3731</v>
      </c>
      <c r="R182" s="151">
        <v>45173</v>
      </c>
      <c r="S182" s="151" t="s">
        <v>58</v>
      </c>
      <c r="T182" s="151" t="s">
        <v>3732</v>
      </c>
      <c r="U182" s="167" t="s">
        <v>3733</v>
      </c>
      <c r="V182" s="164" t="s">
        <v>3734</v>
      </c>
      <c r="W182" s="162">
        <v>1.9083</v>
      </c>
      <c r="X182" s="163">
        <f t="shared" si="111"/>
        <v>755.6868</v>
      </c>
      <c r="Y182" s="109"/>
      <c r="Z182" s="26" t="s">
        <v>53</v>
      </c>
      <c r="AA182" s="176"/>
      <c r="AB182" s="109"/>
      <c r="AC182" s="137"/>
      <c r="AD182" s="137"/>
      <c r="AE182" s="180"/>
      <c r="AF182" s="109"/>
      <c r="AG182" s="109"/>
      <c r="AH182" s="187"/>
      <c r="AI182" s="7">
        <f t="shared" si="118"/>
        <v>396</v>
      </c>
      <c r="AK182" s="7">
        <f t="shared" si="119"/>
        <v>396</v>
      </c>
      <c r="AM182" s="7">
        <f t="shared" si="120"/>
        <v>396</v>
      </c>
      <c r="AZ182" s="7">
        <f t="shared" si="121"/>
        <v>22</v>
      </c>
    </row>
    <row r="183" s="7" customFormat="1" ht="31" customHeight="1" spans="1:43">
      <c r="A183" s="111">
        <v>45167</v>
      </c>
      <c r="B183" s="112" t="s">
        <v>3484</v>
      </c>
      <c r="C183" s="114" t="s">
        <v>63</v>
      </c>
      <c r="D183" s="7">
        <v>4500112169</v>
      </c>
      <c r="E183" s="114"/>
      <c r="F183" s="7" t="s">
        <v>3738</v>
      </c>
      <c r="G183" s="109" t="s">
        <v>3739</v>
      </c>
      <c r="H183" s="109" t="s">
        <v>3740</v>
      </c>
      <c r="I183" s="109">
        <v>3840</v>
      </c>
      <c r="J183" s="109">
        <v>0</v>
      </c>
      <c r="K183" s="109">
        <v>960</v>
      </c>
      <c r="L183" s="138">
        <f t="shared" si="96"/>
        <v>4</v>
      </c>
      <c r="M183" s="139">
        <v>45222</v>
      </c>
      <c r="N183" s="53" t="s">
        <v>3730</v>
      </c>
      <c r="O183" s="140"/>
      <c r="P183" s="140"/>
      <c r="Q183" s="109"/>
      <c r="R183" s="151" t="s">
        <v>49</v>
      </c>
      <c r="S183" s="109" t="s">
        <v>58</v>
      </c>
      <c r="T183" s="173">
        <v>45170</v>
      </c>
      <c r="U183" s="152" t="s">
        <v>3741</v>
      </c>
      <c r="V183" s="152" t="s">
        <v>645</v>
      </c>
      <c r="W183" s="152">
        <v>2160.2811</v>
      </c>
      <c r="X183" s="163">
        <f>W183*L183</f>
        <v>8641.1244</v>
      </c>
      <c r="Y183" s="109"/>
      <c r="Z183" s="109" t="s">
        <v>3739</v>
      </c>
      <c r="AA183" s="176"/>
      <c r="AB183" s="109"/>
      <c r="AC183" s="137"/>
      <c r="AD183" s="137"/>
      <c r="AE183" s="180"/>
      <c r="AF183" s="109" t="s">
        <v>55</v>
      </c>
      <c r="AG183" s="109"/>
      <c r="AH183" s="109">
        <f t="shared" ref="AH183:AH191" si="122">I183</f>
        <v>3840</v>
      </c>
      <c r="AI183" s="109"/>
      <c r="AJ183" s="109">
        <f t="shared" ref="AJ183:AJ185" si="123">I183</f>
        <v>3840</v>
      </c>
      <c r="AK183" s="109"/>
      <c r="AL183" s="109"/>
      <c r="AM183" s="109">
        <f t="shared" si="120"/>
        <v>3840</v>
      </c>
      <c r="AN183" s="109"/>
      <c r="AQ183" s="7">
        <f t="shared" ref="AQ183:AQ185" si="124">I183/12</f>
        <v>320</v>
      </c>
    </row>
    <row r="184" s="7" customFormat="1" ht="31" customHeight="1" spans="1:43">
      <c r="A184" s="111">
        <v>45195</v>
      </c>
      <c r="B184" s="112" t="s">
        <v>3484</v>
      </c>
      <c r="C184" s="114" t="s">
        <v>63</v>
      </c>
      <c r="D184" s="7">
        <v>4500114429</v>
      </c>
      <c r="E184" s="114"/>
      <c r="F184" s="7" t="s">
        <v>3742</v>
      </c>
      <c r="G184" s="109" t="s">
        <v>3739</v>
      </c>
      <c r="H184" s="109" t="s">
        <v>3740</v>
      </c>
      <c r="I184" s="109">
        <v>960</v>
      </c>
      <c r="J184" s="109">
        <v>0</v>
      </c>
      <c r="K184" s="109">
        <v>960</v>
      </c>
      <c r="L184" s="138">
        <f t="shared" si="96"/>
        <v>1</v>
      </c>
      <c r="M184" s="139">
        <v>45257</v>
      </c>
      <c r="N184" s="53" t="s">
        <v>3743</v>
      </c>
      <c r="O184" s="140"/>
      <c r="P184" s="140"/>
      <c r="Q184" s="109"/>
      <c r="R184" s="151" t="s">
        <v>49</v>
      </c>
      <c r="S184" s="109" t="s">
        <v>48</v>
      </c>
      <c r="T184" s="151" t="s">
        <v>3744</v>
      </c>
      <c r="U184" s="152" t="s">
        <v>3745</v>
      </c>
      <c r="V184" s="152" t="s">
        <v>645</v>
      </c>
      <c r="W184" s="152">
        <v>2160.2811</v>
      </c>
      <c r="X184" s="163">
        <f>W184*L184</f>
        <v>2160.2811</v>
      </c>
      <c r="Y184" s="109"/>
      <c r="Z184" s="26" t="s">
        <v>53</v>
      </c>
      <c r="AA184" s="176"/>
      <c r="AB184" s="109"/>
      <c r="AC184" s="180"/>
      <c r="AD184" s="180"/>
      <c r="AE184" s="180"/>
      <c r="AF184" s="109"/>
      <c r="AG184" s="109"/>
      <c r="AH184" s="109">
        <f t="shared" si="122"/>
        <v>960</v>
      </c>
      <c r="AI184" s="109"/>
      <c r="AJ184" s="109">
        <f t="shared" si="123"/>
        <v>960</v>
      </c>
      <c r="AL184" s="109"/>
      <c r="AM184" s="109">
        <f t="shared" si="120"/>
        <v>960</v>
      </c>
      <c r="AN184" s="109"/>
      <c r="AQ184" s="7">
        <f t="shared" si="124"/>
        <v>80</v>
      </c>
    </row>
    <row r="185" s="7" customFormat="1" ht="31" customHeight="1" spans="1:43">
      <c r="A185" s="111">
        <v>45191</v>
      </c>
      <c r="B185" s="112" t="s">
        <v>3746</v>
      </c>
      <c r="C185" s="114" t="s">
        <v>63</v>
      </c>
      <c r="D185" s="7">
        <v>4500113985</v>
      </c>
      <c r="E185" s="114" t="s">
        <v>3747</v>
      </c>
      <c r="F185" s="7" t="s">
        <v>3748</v>
      </c>
      <c r="G185" s="7" t="s">
        <v>3749</v>
      </c>
      <c r="H185" s="109" t="s">
        <v>1140</v>
      </c>
      <c r="I185" s="109">
        <v>5040</v>
      </c>
      <c r="J185" s="109">
        <v>12</v>
      </c>
      <c r="K185" s="109">
        <v>48</v>
      </c>
      <c r="L185" s="138">
        <f t="shared" si="96"/>
        <v>105</v>
      </c>
      <c r="M185" s="139">
        <v>45250</v>
      </c>
      <c r="N185" s="139" t="s">
        <v>3649</v>
      </c>
      <c r="O185" s="140"/>
      <c r="P185" s="140"/>
      <c r="Q185" s="109"/>
      <c r="R185" s="151" t="s">
        <v>49</v>
      </c>
      <c r="S185" s="109" t="s">
        <v>58</v>
      </c>
      <c r="T185" s="151" t="s">
        <v>58</v>
      </c>
      <c r="U185" s="152" t="s">
        <v>3750</v>
      </c>
      <c r="V185" s="152" t="s">
        <v>645</v>
      </c>
      <c r="W185" s="152">
        <v>2.27</v>
      </c>
      <c r="X185" s="163">
        <f t="shared" ref="X185:X189" si="125">W185*I185</f>
        <v>11440.8</v>
      </c>
      <c r="Y185" s="109"/>
      <c r="Z185" s="109" t="s">
        <v>53</v>
      </c>
      <c r="AA185" s="176"/>
      <c r="AB185" s="109"/>
      <c r="AC185" s="180"/>
      <c r="AD185" s="180"/>
      <c r="AE185" s="180"/>
      <c r="AF185" s="109"/>
      <c r="AG185" s="109"/>
      <c r="AH185" s="109">
        <f t="shared" si="122"/>
        <v>5040</v>
      </c>
      <c r="AI185" s="109"/>
      <c r="AJ185" s="109">
        <f t="shared" si="123"/>
        <v>5040</v>
      </c>
      <c r="AK185" s="109"/>
      <c r="AL185" s="109"/>
      <c r="AM185" s="109">
        <f t="shared" si="120"/>
        <v>5040</v>
      </c>
      <c r="AN185" s="109"/>
      <c r="AQ185" s="7">
        <f t="shared" si="124"/>
        <v>420</v>
      </c>
    </row>
    <row r="186" s="7" customFormat="1" ht="31" customHeight="1" spans="1:43">
      <c r="A186" s="128">
        <v>45203</v>
      </c>
      <c r="B186" s="129" t="s">
        <v>3630</v>
      </c>
      <c r="C186" s="130" t="s">
        <v>716</v>
      </c>
      <c r="D186" s="131">
        <v>4500114373</v>
      </c>
      <c r="E186" s="121">
        <v>2401526561</v>
      </c>
      <c r="F186" s="123" t="s">
        <v>3751</v>
      </c>
      <c r="G186" s="109" t="s">
        <v>2282</v>
      </c>
      <c r="H186" s="109" t="s">
        <v>1140</v>
      </c>
      <c r="I186" s="109">
        <v>609</v>
      </c>
      <c r="J186" s="109">
        <v>0</v>
      </c>
      <c r="K186" s="109">
        <v>21</v>
      </c>
      <c r="L186" s="138">
        <f t="shared" si="96"/>
        <v>29</v>
      </c>
      <c r="M186" s="139">
        <v>45260</v>
      </c>
      <c r="N186" s="53" t="s">
        <v>3752</v>
      </c>
      <c r="O186" s="140"/>
      <c r="P186" s="140"/>
      <c r="Q186" s="109"/>
      <c r="R186" s="151">
        <v>45218</v>
      </c>
      <c r="S186" s="109" t="s">
        <v>58</v>
      </c>
      <c r="T186" s="151" t="s">
        <v>58</v>
      </c>
      <c r="U186" s="152" t="s">
        <v>3753</v>
      </c>
      <c r="V186" s="139" t="s">
        <v>3635</v>
      </c>
      <c r="W186" s="152">
        <v>2.08</v>
      </c>
      <c r="X186" s="163">
        <f t="shared" si="125"/>
        <v>1266.72</v>
      </c>
      <c r="Y186" s="109"/>
      <c r="Z186" s="183" t="s">
        <v>53</v>
      </c>
      <c r="AA186" s="176"/>
      <c r="AB186" s="109"/>
      <c r="AC186" s="180"/>
      <c r="AD186" s="180"/>
      <c r="AE186" s="180"/>
      <c r="AF186" s="109"/>
      <c r="AG186" s="109"/>
      <c r="AH186" s="109">
        <f t="shared" si="122"/>
        <v>609</v>
      </c>
      <c r="AI186" s="109"/>
      <c r="AJ186" s="109"/>
      <c r="AL186" s="109">
        <f t="shared" ref="AL186:AL191" si="126">I186</f>
        <v>609</v>
      </c>
      <c r="AM186" s="109">
        <f t="shared" si="120"/>
        <v>609</v>
      </c>
      <c r="AO186" s="109"/>
      <c r="AQ186" s="7">
        <f t="shared" ref="AQ186:AQ189" si="127">I186/21</f>
        <v>29</v>
      </c>
    </row>
    <row r="187" s="7" customFormat="1" ht="31" customHeight="1" spans="1:43">
      <c r="A187" s="128">
        <v>45203</v>
      </c>
      <c r="B187" s="129" t="s">
        <v>3630</v>
      </c>
      <c r="C187" s="130" t="s">
        <v>716</v>
      </c>
      <c r="D187" s="131">
        <v>4500114373</v>
      </c>
      <c r="E187" s="121">
        <v>3501526561</v>
      </c>
      <c r="F187" s="123" t="s">
        <v>3754</v>
      </c>
      <c r="G187" s="109" t="s">
        <v>2282</v>
      </c>
      <c r="H187" s="109" t="s">
        <v>1140</v>
      </c>
      <c r="I187" s="109">
        <v>2058</v>
      </c>
      <c r="J187" s="109">
        <v>0</v>
      </c>
      <c r="K187" s="109">
        <v>21</v>
      </c>
      <c r="L187" s="138">
        <f t="shared" si="96"/>
        <v>98</v>
      </c>
      <c r="M187" s="139">
        <v>45260</v>
      </c>
      <c r="N187" s="53" t="s">
        <v>3752</v>
      </c>
      <c r="O187" s="140"/>
      <c r="P187" s="140"/>
      <c r="Q187" s="109"/>
      <c r="R187" s="151">
        <v>45218</v>
      </c>
      <c r="S187" s="109" t="s">
        <v>58</v>
      </c>
      <c r="T187" s="151" t="s">
        <v>58</v>
      </c>
      <c r="U187" s="152" t="s">
        <v>3753</v>
      </c>
      <c r="V187" s="139" t="s">
        <v>3635</v>
      </c>
      <c r="W187" s="152">
        <v>2.08</v>
      </c>
      <c r="X187" s="163">
        <f t="shared" si="125"/>
        <v>4280.64</v>
      </c>
      <c r="Y187" s="109"/>
      <c r="Z187" s="183" t="s">
        <v>53</v>
      </c>
      <c r="AA187" s="176"/>
      <c r="AB187" s="109"/>
      <c r="AC187" s="180"/>
      <c r="AD187" s="180"/>
      <c r="AE187" s="180"/>
      <c r="AF187" s="109"/>
      <c r="AG187" s="109"/>
      <c r="AH187" s="109">
        <f t="shared" si="122"/>
        <v>2058</v>
      </c>
      <c r="AI187" s="109"/>
      <c r="AJ187" s="109"/>
      <c r="AL187" s="109">
        <f t="shared" si="126"/>
        <v>2058</v>
      </c>
      <c r="AM187" s="109">
        <f t="shared" si="120"/>
        <v>2058</v>
      </c>
      <c r="AO187" s="109"/>
      <c r="AQ187" s="7">
        <f t="shared" si="127"/>
        <v>98</v>
      </c>
    </row>
    <row r="188" s="7" customFormat="1" ht="31" customHeight="1" spans="1:43">
      <c r="A188" s="128">
        <v>45203</v>
      </c>
      <c r="B188" s="129" t="s">
        <v>3630</v>
      </c>
      <c r="C188" s="130" t="s">
        <v>716</v>
      </c>
      <c r="D188" s="123">
        <v>4500114374</v>
      </c>
      <c r="E188" s="121">
        <v>2401526574</v>
      </c>
      <c r="F188" s="123" t="s">
        <v>3755</v>
      </c>
      <c r="G188" s="109" t="s">
        <v>2282</v>
      </c>
      <c r="H188" s="109" t="s">
        <v>1140</v>
      </c>
      <c r="I188" s="109">
        <v>399</v>
      </c>
      <c r="J188" s="109">
        <v>0</v>
      </c>
      <c r="K188" s="109">
        <v>21</v>
      </c>
      <c r="L188" s="138">
        <f t="shared" si="96"/>
        <v>19</v>
      </c>
      <c r="M188" s="139">
        <v>45287</v>
      </c>
      <c r="N188" s="53" t="s">
        <v>3752</v>
      </c>
      <c r="O188" s="140"/>
      <c r="P188" s="140"/>
      <c r="Q188" s="109"/>
      <c r="R188" s="151" t="s">
        <v>49</v>
      </c>
      <c r="S188" s="109" t="s">
        <v>58</v>
      </c>
      <c r="T188" s="151" t="s">
        <v>58</v>
      </c>
      <c r="U188" s="152" t="s">
        <v>3756</v>
      </c>
      <c r="V188" s="139" t="s">
        <v>3635</v>
      </c>
      <c r="W188" s="152">
        <v>2.08</v>
      </c>
      <c r="X188" s="163">
        <f t="shared" si="125"/>
        <v>829.92</v>
      </c>
      <c r="Y188" s="109"/>
      <c r="Z188" s="183" t="s">
        <v>53</v>
      </c>
      <c r="AA188" s="176"/>
      <c r="AB188" s="109"/>
      <c r="AC188" s="180"/>
      <c r="AD188" s="180"/>
      <c r="AE188" s="180"/>
      <c r="AF188" s="109"/>
      <c r="AG188" s="109"/>
      <c r="AH188" s="109">
        <f t="shared" si="122"/>
        <v>399</v>
      </c>
      <c r="AI188" s="109"/>
      <c r="AJ188" s="109"/>
      <c r="AL188" s="109">
        <f t="shared" si="126"/>
        <v>399</v>
      </c>
      <c r="AN188" s="109">
        <f>I188</f>
        <v>399</v>
      </c>
      <c r="AO188" s="109"/>
      <c r="AQ188" s="7">
        <f t="shared" si="127"/>
        <v>19</v>
      </c>
    </row>
    <row r="189" s="7" customFormat="1" ht="31" customHeight="1" spans="1:43">
      <c r="A189" s="128">
        <v>45203</v>
      </c>
      <c r="B189" s="129" t="s">
        <v>3630</v>
      </c>
      <c r="C189" s="130" t="s">
        <v>716</v>
      </c>
      <c r="D189" s="123">
        <v>4500114374</v>
      </c>
      <c r="E189" s="121">
        <v>3501526574</v>
      </c>
      <c r="F189" s="123" t="s">
        <v>3757</v>
      </c>
      <c r="G189" s="109" t="s">
        <v>2282</v>
      </c>
      <c r="H189" s="109" t="s">
        <v>1140</v>
      </c>
      <c r="I189" s="109">
        <v>1365</v>
      </c>
      <c r="J189" s="109">
        <v>0</v>
      </c>
      <c r="K189" s="109">
        <v>21</v>
      </c>
      <c r="L189" s="138">
        <f t="shared" si="96"/>
        <v>65</v>
      </c>
      <c r="M189" s="139">
        <v>45287</v>
      </c>
      <c r="N189" s="53" t="s">
        <v>3752</v>
      </c>
      <c r="O189" s="140"/>
      <c r="P189" s="140"/>
      <c r="Q189" s="109"/>
      <c r="R189" s="151" t="s">
        <v>49</v>
      </c>
      <c r="S189" s="109" t="s">
        <v>58</v>
      </c>
      <c r="T189" s="151" t="s">
        <v>58</v>
      </c>
      <c r="U189" s="152" t="s">
        <v>3756</v>
      </c>
      <c r="V189" s="139" t="s">
        <v>3635</v>
      </c>
      <c r="W189" s="152">
        <v>2.08</v>
      </c>
      <c r="X189" s="163">
        <f t="shared" si="125"/>
        <v>2839.2</v>
      </c>
      <c r="Y189" s="109"/>
      <c r="Z189" s="183" t="s">
        <v>53</v>
      </c>
      <c r="AA189" s="176"/>
      <c r="AB189" s="109"/>
      <c r="AC189" s="180"/>
      <c r="AD189" s="180"/>
      <c r="AE189" s="180"/>
      <c r="AF189" s="109"/>
      <c r="AG189" s="109"/>
      <c r="AH189" s="109">
        <f t="shared" si="122"/>
        <v>1365</v>
      </c>
      <c r="AI189" s="109"/>
      <c r="AJ189" s="109"/>
      <c r="AL189" s="109">
        <f t="shared" si="126"/>
        <v>1365</v>
      </c>
      <c r="AN189" s="109">
        <f>I189</f>
        <v>1365</v>
      </c>
      <c r="AO189" s="109"/>
      <c r="AQ189" s="7">
        <f t="shared" si="127"/>
        <v>65</v>
      </c>
    </row>
    <row r="190" s="7" customFormat="1" ht="31" customHeight="1" spans="1:38">
      <c r="A190" s="128">
        <v>45203</v>
      </c>
      <c r="B190" s="129" t="s">
        <v>3630</v>
      </c>
      <c r="C190" s="130" t="s">
        <v>716</v>
      </c>
      <c r="D190" s="131">
        <v>4500114373</v>
      </c>
      <c r="E190" s="121">
        <v>2401526561</v>
      </c>
      <c r="F190" s="123" t="s">
        <v>3758</v>
      </c>
      <c r="G190" s="115" t="s">
        <v>44</v>
      </c>
      <c r="H190" s="114" t="s">
        <v>45</v>
      </c>
      <c r="I190" s="114">
        <v>56</v>
      </c>
      <c r="J190" s="114">
        <v>0</v>
      </c>
      <c r="K190" s="114">
        <v>4</v>
      </c>
      <c r="L190" s="141">
        <f t="shared" si="96"/>
        <v>14</v>
      </c>
      <c r="M190" s="139">
        <v>45260</v>
      </c>
      <c r="N190" s="53" t="s">
        <v>3547</v>
      </c>
      <c r="O190" s="140"/>
      <c r="P190" s="140"/>
      <c r="Q190" s="109"/>
      <c r="R190" s="155">
        <v>45218</v>
      </c>
      <c r="S190" s="155" t="s">
        <v>58</v>
      </c>
      <c r="T190" s="155" t="s">
        <v>58</v>
      </c>
      <c r="U190" s="112" t="s">
        <v>3759</v>
      </c>
      <c r="V190" s="139" t="s">
        <v>3635</v>
      </c>
      <c r="W190" s="156">
        <v>7.6428</v>
      </c>
      <c r="X190" s="157">
        <f t="shared" ref="X190:X194" si="128">I190*W190</f>
        <v>427.9968</v>
      </c>
      <c r="Y190" s="109"/>
      <c r="Z190" s="115" t="s">
        <v>53</v>
      </c>
      <c r="AA190" s="176"/>
      <c r="AB190" s="109"/>
      <c r="AC190" s="181"/>
      <c r="AD190" s="181"/>
      <c r="AE190" s="137"/>
      <c r="AF190" s="182"/>
      <c r="AG190" s="109"/>
      <c r="AH190" s="8">
        <f t="shared" si="122"/>
        <v>56</v>
      </c>
      <c r="AI190" s="8"/>
      <c r="AJ190" s="8"/>
      <c r="AK190" s="8">
        <f t="shared" ref="AK190:AK195" si="129">I190</f>
        <v>56</v>
      </c>
      <c r="AL190" s="7">
        <f t="shared" si="126"/>
        <v>56</v>
      </c>
    </row>
    <row r="191" s="7" customFormat="1" ht="31" customHeight="1" spans="1:38">
      <c r="A191" s="128">
        <v>45203</v>
      </c>
      <c r="B191" s="129" t="s">
        <v>3630</v>
      </c>
      <c r="C191" s="130" t="s">
        <v>716</v>
      </c>
      <c r="D191" s="131">
        <v>4500114373</v>
      </c>
      <c r="E191" s="121">
        <v>3501526561</v>
      </c>
      <c r="F191" s="123" t="s">
        <v>3760</v>
      </c>
      <c r="G191" s="115" t="s">
        <v>44</v>
      </c>
      <c r="H191" s="114" t="s">
        <v>45</v>
      </c>
      <c r="I191" s="114">
        <v>188</v>
      </c>
      <c r="J191" s="114">
        <v>0</v>
      </c>
      <c r="K191" s="114">
        <v>4</v>
      </c>
      <c r="L191" s="141">
        <f t="shared" si="96"/>
        <v>47</v>
      </c>
      <c r="M191" s="139">
        <v>45260</v>
      </c>
      <c r="N191" s="53" t="s">
        <v>3547</v>
      </c>
      <c r="O191" s="140"/>
      <c r="P191" s="140"/>
      <c r="Q191" s="109"/>
      <c r="R191" s="155">
        <v>45218</v>
      </c>
      <c r="S191" s="155" t="s">
        <v>58</v>
      </c>
      <c r="T191" s="155" t="s">
        <v>58</v>
      </c>
      <c r="U191" s="112" t="s">
        <v>3759</v>
      </c>
      <c r="V191" s="139" t="s">
        <v>3635</v>
      </c>
      <c r="W191" s="156">
        <v>7.6428</v>
      </c>
      <c r="X191" s="157">
        <f t="shared" si="128"/>
        <v>1436.8464</v>
      </c>
      <c r="Y191" s="109"/>
      <c r="Z191" s="115" t="s">
        <v>53</v>
      </c>
      <c r="AA191" s="176"/>
      <c r="AB191" s="109"/>
      <c r="AC191" s="181"/>
      <c r="AD191" s="181"/>
      <c r="AE191" s="137"/>
      <c r="AF191" s="182"/>
      <c r="AG191" s="109"/>
      <c r="AH191" s="8">
        <f t="shared" si="122"/>
        <v>188</v>
      </c>
      <c r="AI191" s="8"/>
      <c r="AJ191" s="8"/>
      <c r="AK191" s="8">
        <f t="shared" si="129"/>
        <v>188</v>
      </c>
      <c r="AL191" s="7">
        <f t="shared" si="126"/>
        <v>188</v>
      </c>
    </row>
    <row r="192" s="4" customFormat="1" ht="31" customHeight="1" spans="1:73">
      <c r="A192" s="132">
        <v>45366</v>
      </c>
      <c r="B192" s="65" t="s">
        <v>3761</v>
      </c>
      <c r="C192" s="133" t="s">
        <v>600</v>
      </c>
      <c r="D192" s="134">
        <v>4500127034</v>
      </c>
      <c r="E192" s="135"/>
      <c r="F192" s="134" t="s">
        <v>3762</v>
      </c>
      <c r="G192" s="26" t="s">
        <v>3763</v>
      </c>
      <c r="H192" s="26" t="s">
        <v>1140</v>
      </c>
      <c r="I192" s="150">
        <v>3000</v>
      </c>
      <c r="J192" s="26">
        <v>0</v>
      </c>
      <c r="K192" s="26">
        <v>50</v>
      </c>
      <c r="L192" s="49">
        <v>60</v>
      </c>
      <c r="M192" s="31">
        <v>45401</v>
      </c>
      <c r="N192" s="31" t="s">
        <v>3649</v>
      </c>
      <c r="O192" s="50"/>
      <c r="P192" s="50"/>
      <c r="Q192" s="26"/>
      <c r="R192" s="72">
        <v>45373</v>
      </c>
      <c r="S192" s="26" t="s">
        <v>58</v>
      </c>
      <c r="T192" s="72" t="s">
        <v>3764</v>
      </c>
      <c r="U192" s="25" t="s">
        <v>3765</v>
      </c>
      <c r="V192" s="174"/>
      <c r="W192" s="175"/>
      <c r="X192" s="68"/>
      <c r="Y192" s="26"/>
      <c r="Z192" s="184"/>
      <c r="AA192" s="26"/>
      <c r="AB192" s="38"/>
      <c r="AC192" s="26"/>
      <c r="AD192" s="185"/>
      <c r="AE192" s="185"/>
      <c r="AF192" s="185"/>
      <c r="AG192" s="26"/>
      <c r="AH192" s="26"/>
      <c r="AI192" s="26"/>
      <c r="AJ192" s="26"/>
      <c r="AK192" s="26"/>
      <c r="AM192" s="26"/>
      <c r="AN192" s="26"/>
      <c r="AO192" s="26"/>
      <c r="AP192" s="26"/>
      <c r="BH192" s="191"/>
      <c r="BI192" s="191"/>
      <c r="BJ192" s="191"/>
      <c r="BK192" s="191"/>
      <c r="BL192" s="191"/>
      <c r="BM192" s="191"/>
      <c r="BP192" s="191"/>
      <c r="BQ192" s="191"/>
      <c r="BR192" s="191"/>
      <c r="BS192" s="191"/>
      <c r="BT192" s="191"/>
      <c r="BU192" s="191"/>
    </row>
    <row r="193" s="4" customFormat="1" ht="31" customHeight="1" spans="1:78">
      <c r="A193" s="193">
        <v>45380</v>
      </c>
      <c r="B193" s="135" t="s">
        <v>1647</v>
      </c>
      <c r="C193" s="194" t="s">
        <v>610</v>
      </c>
      <c r="D193" s="195">
        <v>4500128497</v>
      </c>
      <c r="E193" s="196" t="s">
        <v>3766</v>
      </c>
      <c r="F193" s="195" t="s">
        <v>3767</v>
      </c>
      <c r="G193" s="26" t="s">
        <v>2277</v>
      </c>
      <c r="H193" s="26" t="s">
        <v>1140</v>
      </c>
      <c r="I193" s="26">
        <v>14400</v>
      </c>
      <c r="J193" s="26">
        <v>0</v>
      </c>
      <c r="K193" s="26">
        <v>48</v>
      </c>
      <c r="L193" s="49">
        <f t="shared" ref="L193:L229" si="130">I193/K193</f>
        <v>300</v>
      </c>
      <c r="M193" s="31">
        <v>45486</v>
      </c>
      <c r="N193" s="31" t="s">
        <v>3649</v>
      </c>
      <c r="O193" s="50"/>
      <c r="P193" s="50"/>
      <c r="Q193" s="26"/>
      <c r="R193" s="72">
        <v>45380</v>
      </c>
      <c r="S193" s="26" t="s">
        <v>48</v>
      </c>
      <c r="T193" s="72" t="s">
        <v>49</v>
      </c>
      <c r="U193" s="25" t="s">
        <v>3768</v>
      </c>
      <c r="V193" s="253" t="s">
        <v>1219</v>
      </c>
      <c r="W193" s="25">
        <v>1.9041</v>
      </c>
      <c r="X193" s="68">
        <f t="shared" si="128"/>
        <v>27419.04</v>
      </c>
      <c r="Y193" s="26"/>
      <c r="Z193" s="26" t="s">
        <v>2277</v>
      </c>
      <c r="AA193" s="26" t="s">
        <v>53</v>
      </c>
      <c r="AB193" s="38"/>
      <c r="AC193" s="26"/>
      <c r="AD193" s="185"/>
      <c r="AE193" s="36">
        <f t="shared" ref="AE193:AE200" si="131">AD193-I193</f>
        <v>-14400</v>
      </c>
      <c r="AF193" s="185"/>
      <c r="AG193" s="26"/>
      <c r="AH193" s="26"/>
      <c r="AI193" s="26">
        <f t="shared" ref="AI193:AI195" si="132">I193</f>
        <v>14400</v>
      </c>
      <c r="AJ193" s="26"/>
      <c r="AK193" s="26">
        <f t="shared" si="129"/>
        <v>14400</v>
      </c>
      <c r="AM193" s="26"/>
      <c r="AO193" s="26">
        <f t="shared" ref="AO193:AO195" si="133">I193</f>
        <v>14400</v>
      </c>
      <c r="AP193" s="26"/>
      <c r="AQ193" s="26"/>
      <c r="AR193" s="26"/>
      <c r="AU193" s="4">
        <f>I193/12</f>
        <v>1200</v>
      </c>
      <c r="BL193" s="191">
        <f t="shared" ref="BL193:BL196" si="134">AI193+AJ193</f>
        <v>14400</v>
      </c>
      <c r="BM193" s="191">
        <f>BM191+BL193</f>
        <v>14400</v>
      </c>
      <c r="BN193" s="191"/>
      <c r="BO193" s="191"/>
      <c r="BP193" s="191"/>
      <c r="BQ193" s="191">
        <f>$BO$1+$BP$1+$BQ$1+$BR$1-BM193</f>
        <v>-14400</v>
      </c>
      <c r="BT193" s="7">
        <f t="shared" ref="BT193:BT196" si="135">AS193+AT193</f>
        <v>0</v>
      </c>
      <c r="BU193" s="289">
        <f>BU191+BT193</f>
        <v>0</v>
      </c>
      <c r="BV193" s="191"/>
      <c r="BW193" s="191"/>
      <c r="BX193" s="191"/>
      <c r="BY193" s="191">
        <f>$BW$1+$BX$1+$BY$1+$BZ$1-BU193</f>
        <v>0</v>
      </c>
      <c r="BZ193" s="191"/>
    </row>
    <row r="194" s="4" customFormat="1" ht="31" customHeight="1" spans="1:78">
      <c r="A194" s="197">
        <v>45364</v>
      </c>
      <c r="B194" s="198" t="s">
        <v>3769</v>
      </c>
      <c r="C194" s="198" t="s">
        <v>3770</v>
      </c>
      <c r="D194" s="134">
        <v>4500126776</v>
      </c>
      <c r="E194" s="198" t="s">
        <v>3771</v>
      </c>
      <c r="F194" s="199" t="s">
        <v>3772</v>
      </c>
      <c r="G194" s="26" t="s">
        <v>3773</v>
      </c>
      <c r="H194" s="26" t="s">
        <v>1140</v>
      </c>
      <c r="I194" s="26">
        <v>4116</v>
      </c>
      <c r="J194" s="26">
        <v>0</v>
      </c>
      <c r="K194" s="26">
        <v>12</v>
      </c>
      <c r="L194" s="49">
        <f t="shared" si="130"/>
        <v>343</v>
      </c>
      <c r="M194" s="31">
        <v>45530</v>
      </c>
      <c r="N194" s="31" t="s">
        <v>3649</v>
      </c>
      <c r="O194" s="50"/>
      <c r="P194" s="50"/>
      <c r="Q194" s="26"/>
      <c r="R194" s="72" t="s">
        <v>49</v>
      </c>
      <c r="S194" s="26" t="s">
        <v>58</v>
      </c>
      <c r="T194" s="72" t="s">
        <v>58</v>
      </c>
      <c r="U194" s="25" t="s">
        <v>3774</v>
      </c>
      <c r="V194" s="253" t="s">
        <v>721</v>
      </c>
      <c r="W194" s="25">
        <v>1.9282</v>
      </c>
      <c r="X194" s="68">
        <f t="shared" si="128"/>
        <v>7936.4712</v>
      </c>
      <c r="Y194" s="26"/>
      <c r="Z194" s="26" t="s">
        <v>3773</v>
      </c>
      <c r="AA194" s="26" t="s">
        <v>53</v>
      </c>
      <c r="AB194" s="38"/>
      <c r="AC194" s="26"/>
      <c r="AD194" s="185"/>
      <c r="AE194" s="137">
        <f t="shared" si="131"/>
        <v>-4116</v>
      </c>
      <c r="AF194" s="185"/>
      <c r="AG194" s="26" t="s">
        <v>58</v>
      </c>
      <c r="AH194" s="26"/>
      <c r="AI194" s="26">
        <f t="shared" si="132"/>
        <v>4116</v>
      </c>
      <c r="AJ194" s="26"/>
      <c r="AK194" s="26">
        <f t="shared" si="129"/>
        <v>4116</v>
      </c>
      <c r="AM194" s="26"/>
      <c r="AO194" s="26">
        <f t="shared" si="133"/>
        <v>4116</v>
      </c>
      <c r="AP194" s="26"/>
      <c r="AQ194" s="26"/>
      <c r="AR194" s="26"/>
      <c r="AU194" s="4">
        <f>I194/12</f>
        <v>343</v>
      </c>
      <c r="BL194" s="191">
        <f t="shared" si="134"/>
        <v>4116</v>
      </c>
      <c r="BM194" s="289">
        <f>BM193+BL194</f>
        <v>18516</v>
      </c>
      <c r="BN194" s="191"/>
      <c r="BO194" s="191"/>
      <c r="BP194" s="289"/>
      <c r="BQ194" s="191">
        <f>$BO$1+$BP$1+$BQ$1+$BR$1-BM194</f>
        <v>-18516</v>
      </c>
      <c r="BT194" s="7">
        <f t="shared" si="135"/>
        <v>0</v>
      </c>
      <c r="BU194" s="289">
        <f>BU193+BT194</f>
        <v>0</v>
      </c>
      <c r="BV194" s="191"/>
      <c r="BW194" s="191"/>
      <c r="BX194" s="191"/>
      <c r="BY194" s="289">
        <f>$BW$1+$BX$1+$BY$1+$BZ$1-BU194</f>
        <v>0</v>
      </c>
      <c r="BZ194" s="191"/>
    </row>
    <row r="195" s="10" customFormat="1" ht="31" customHeight="1" spans="1:78">
      <c r="A195" s="200">
        <v>45413</v>
      </c>
      <c r="B195" s="201" t="s">
        <v>551</v>
      </c>
      <c r="C195" s="202" t="s">
        <v>552</v>
      </c>
      <c r="D195" s="203">
        <v>4500131403</v>
      </c>
      <c r="E195" s="204" t="s">
        <v>3775</v>
      </c>
      <c r="F195" s="203" t="s">
        <v>3776</v>
      </c>
      <c r="G195" s="205" t="s">
        <v>1163</v>
      </c>
      <c r="H195" s="205" t="s">
        <v>1140</v>
      </c>
      <c r="I195" s="205">
        <v>600</v>
      </c>
      <c r="J195" s="205">
        <v>0</v>
      </c>
      <c r="K195" s="205">
        <v>24</v>
      </c>
      <c r="L195" s="242">
        <v>25</v>
      </c>
      <c r="M195" s="243">
        <v>45449</v>
      </c>
      <c r="N195" s="31" t="s">
        <v>3649</v>
      </c>
      <c r="O195" s="244"/>
      <c r="P195" s="244"/>
      <c r="Q195" s="205"/>
      <c r="R195" s="254"/>
      <c r="S195" s="205"/>
      <c r="T195" s="254"/>
      <c r="U195" s="255" t="s">
        <v>3777</v>
      </c>
      <c r="V195" s="256" t="s">
        <v>214</v>
      </c>
      <c r="W195" s="255">
        <v>1.8814</v>
      </c>
      <c r="X195" s="257">
        <v>1128.84</v>
      </c>
      <c r="Y195" s="205"/>
      <c r="Z195" s="205"/>
      <c r="AA195" s="205"/>
      <c r="AB195" s="274"/>
      <c r="AC195" s="205"/>
      <c r="AD195" s="275"/>
      <c r="AE195" s="276"/>
      <c r="AF195" s="275"/>
      <c r="AG195" s="205"/>
      <c r="AH195" s="205"/>
      <c r="AI195" s="205">
        <f t="shared" si="132"/>
        <v>600</v>
      </c>
      <c r="AJ195" s="205"/>
      <c r="AK195" s="205">
        <f t="shared" si="129"/>
        <v>600</v>
      </c>
      <c r="AM195" s="205"/>
      <c r="AO195" s="205">
        <f t="shared" si="133"/>
        <v>600</v>
      </c>
      <c r="AP195" s="205"/>
      <c r="AQ195" s="205"/>
      <c r="AR195" s="205"/>
      <c r="BL195" s="287"/>
      <c r="BM195" s="287"/>
      <c r="BN195" s="287"/>
      <c r="BO195" s="287"/>
      <c r="BP195" s="287"/>
      <c r="BQ195" s="287"/>
      <c r="BU195" s="287"/>
      <c r="BV195" s="287"/>
      <c r="BW195" s="287"/>
      <c r="BX195" s="287"/>
      <c r="BY195" s="287"/>
      <c r="BZ195" s="287"/>
    </row>
    <row r="196" s="4" customFormat="1" ht="31" customHeight="1" spans="1:78">
      <c r="A196" s="193">
        <v>45405</v>
      </c>
      <c r="B196" s="206" t="s">
        <v>1965</v>
      </c>
      <c r="C196" s="207" t="s">
        <v>63</v>
      </c>
      <c r="D196" s="208">
        <v>4500130192</v>
      </c>
      <c r="E196" s="209" t="s">
        <v>3778</v>
      </c>
      <c r="F196" s="208" t="s">
        <v>3779</v>
      </c>
      <c r="G196" s="26" t="s">
        <v>1147</v>
      </c>
      <c r="H196" s="26" t="s">
        <v>3780</v>
      </c>
      <c r="I196" s="26">
        <v>504</v>
      </c>
      <c r="J196" s="26">
        <v>0</v>
      </c>
      <c r="K196" s="26">
        <v>12</v>
      </c>
      <c r="L196" s="49">
        <f t="shared" si="130"/>
        <v>42</v>
      </c>
      <c r="M196" s="31">
        <v>45447</v>
      </c>
      <c r="N196" s="31" t="s">
        <v>3649</v>
      </c>
      <c r="O196" s="50"/>
      <c r="P196" s="50"/>
      <c r="Q196" s="26"/>
      <c r="R196" s="72" t="s">
        <v>3781</v>
      </c>
      <c r="S196" s="26" t="s">
        <v>48</v>
      </c>
      <c r="T196" s="72" t="s">
        <v>3782</v>
      </c>
      <c r="U196" s="25" t="s">
        <v>3783</v>
      </c>
      <c r="V196" s="258" t="s">
        <v>541</v>
      </c>
      <c r="W196" s="25">
        <v>4.1259</v>
      </c>
      <c r="X196" s="68">
        <f>W196*I196</f>
        <v>2079.4536</v>
      </c>
      <c r="Y196" s="26"/>
      <c r="Z196" s="26" t="s">
        <v>1147</v>
      </c>
      <c r="AA196" s="26" t="s">
        <v>53</v>
      </c>
      <c r="AB196" s="38"/>
      <c r="AC196" s="26"/>
      <c r="AD196" s="185"/>
      <c r="AE196" s="36">
        <f t="shared" si="131"/>
        <v>-504</v>
      </c>
      <c r="AF196" s="185"/>
      <c r="AG196" s="26"/>
      <c r="AH196" s="26"/>
      <c r="AI196" s="26">
        <f t="shared" ref="AI196:AI205" si="136">I196*2</f>
        <v>1008</v>
      </c>
      <c r="AJ196" s="26"/>
      <c r="AK196" s="26"/>
      <c r="AL196" s="4">
        <f t="shared" ref="AL196:AL205" si="137">I196*2</f>
        <v>1008</v>
      </c>
      <c r="AM196" s="26"/>
      <c r="AN196" s="3"/>
      <c r="AO196" s="26">
        <f>I196*2</f>
        <v>1008</v>
      </c>
      <c r="AP196" s="26"/>
      <c r="AQ196" s="26"/>
      <c r="AR196" s="26"/>
      <c r="BH196" s="4">
        <f>I196</f>
        <v>504</v>
      </c>
      <c r="BI196" s="4">
        <f>I196</f>
        <v>504</v>
      </c>
      <c r="BJ196" s="4">
        <f>I196</f>
        <v>504</v>
      </c>
      <c r="BL196" s="191">
        <f t="shared" si="134"/>
        <v>1008</v>
      </c>
      <c r="BM196" s="289" t="e">
        <f>'77485 S3 明细'!#REF!+BL196</f>
        <v>#REF!</v>
      </c>
      <c r="BN196" s="191"/>
      <c r="BO196" s="191"/>
      <c r="BP196" s="191"/>
      <c r="BQ196" s="191" t="e">
        <f>'77485 S3 明细'!$BV$1+'77485 S3 明细'!$BW$1+'77485 S3 明细'!$BX$1+'77485 S3 明细'!$BY$1-BM196</f>
        <v>#REF!</v>
      </c>
      <c r="BT196" s="4">
        <f t="shared" si="135"/>
        <v>0</v>
      </c>
      <c r="BU196" s="191" t="e">
        <f>'77485 S3 明细'!#REF!+BT196</f>
        <v>#REF!</v>
      </c>
      <c r="BV196" s="191"/>
      <c r="BW196" s="191"/>
      <c r="BX196" s="191"/>
      <c r="BY196" s="191" t="e">
        <f>'77485 S3 明细'!$CD$1+'77485 S3 明细'!$CE$1+'77485 S3 明细'!$CF$1+'77485 S3 明细'!$CG$1-BU196</f>
        <v>#REF!</v>
      </c>
      <c r="BZ196" s="191"/>
    </row>
    <row r="197" s="4" customFormat="1" ht="31" customHeight="1" spans="1:79">
      <c r="A197" s="197">
        <v>45448</v>
      </c>
      <c r="B197" s="198" t="s">
        <v>148</v>
      </c>
      <c r="C197" s="198" t="s">
        <v>149</v>
      </c>
      <c r="D197" s="210">
        <v>4500135946</v>
      </c>
      <c r="E197" s="211">
        <v>20083342</v>
      </c>
      <c r="F197" s="210" t="s">
        <v>3784</v>
      </c>
      <c r="G197" s="26" t="s">
        <v>1181</v>
      </c>
      <c r="H197" s="26" t="s">
        <v>1140</v>
      </c>
      <c r="I197" s="26">
        <v>2236</v>
      </c>
      <c r="J197" s="26">
        <v>0</v>
      </c>
      <c r="K197" s="26">
        <v>13</v>
      </c>
      <c r="L197" s="49">
        <f t="shared" si="130"/>
        <v>172</v>
      </c>
      <c r="M197" s="31">
        <v>45496</v>
      </c>
      <c r="N197" s="31">
        <v>45492</v>
      </c>
      <c r="O197" s="50"/>
      <c r="P197" s="50"/>
      <c r="Q197" s="26"/>
      <c r="R197" s="72" t="s">
        <v>49</v>
      </c>
      <c r="S197" s="26" t="s">
        <v>48</v>
      </c>
      <c r="T197" s="72" t="s">
        <v>49</v>
      </c>
      <c r="U197" s="25" t="s">
        <v>3785</v>
      </c>
      <c r="V197" s="253" t="s">
        <v>154</v>
      </c>
      <c r="W197" s="25">
        <v>1.9425</v>
      </c>
      <c r="X197" s="68">
        <f t="shared" ref="X197:X208" si="138">I197*W197</f>
        <v>4343.43</v>
      </c>
      <c r="Y197" s="26"/>
      <c r="Z197" s="26" t="s">
        <v>1181</v>
      </c>
      <c r="AA197" s="26" t="s">
        <v>53</v>
      </c>
      <c r="AB197" s="38"/>
      <c r="AC197" s="26"/>
      <c r="AD197" s="185"/>
      <c r="AE197" s="36">
        <f t="shared" si="131"/>
        <v>-2236</v>
      </c>
      <c r="AF197" s="185"/>
      <c r="AG197" s="26"/>
      <c r="AH197" s="26"/>
      <c r="AI197" s="26">
        <f t="shared" ref="AI197:AI199" si="139">I197</f>
        <v>2236</v>
      </c>
      <c r="AJ197" s="26"/>
      <c r="AK197" s="26">
        <f t="shared" ref="AK197:AK199" si="140">I197</f>
        <v>2236</v>
      </c>
      <c r="AM197" s="26"/>
      <c r="AN197" s="26"/>
      <c r="AP197" s="26">
        <f t="shared" ref="AP197:AP199" si="141">I197</f>
        <v>2236</v>
      </c>
      <c r="AQ197" s="26"/>
      <c r="AR197" s="26"/>
      <c r="AS197" s="26"/>
      <c r="AY197" s="4">
        <f t="shared" ref="AY197:AY199" si="142">I197/13</f>
        <v>172</v>
      </c>
      <c r="BM197" s="191">
        <f t="shared" ref="BM197:BM200" si="143">AI197+AJ197</f>
        <v>2236</v>
      </c>
      <c r="BN197" s="191" t="e">
        <f>'77485 S3 明细'!#REF!+BM197</f>
        <v>#REF!</v>
      </c>
      <c r="BO197" s="191"/>
      <c r="BP197" s="191"/>
      <c r="BQ197" s="191"/>
      <c r="BR197" s="191"/>
      <c r="BS197" s="4" t="e">
        <f>SUM('77485 S3 明细'!BV$1:BZ$1)-BN197</f>
        <v>#REF!</v>
      </c>
      <c r="BU197" s="4">
        <f t="shared" ref="BU197:BU200" si="144">AT197+AU197+AY197+AZ197</f>
        <v>172</v>
      </c>
      <c r="BV197" s="289" t="e">
        <f>'77485 S3 明细'!#REF!+BU197</f>
        <v>#REF!</v>
      </c>
      <c r="BW197" s="191"/>
      <c r="BX197" s="191"/>
      <c r="BY197" s="191"/>
      <c r="BZ197" s="191" t="e">
        <f>'77485 S3 明细'!$CD$1+'77485 S3 明细'!$CE$1+'77485 S3 明细'!$CF$1+'77485 S3 明细'!$CG$1-BV197</f>
        <v>#REF!</v>
      </c>
      <c r="CA197" s="191"/>
    </row>
    <row r="198" s="4" customFormat="1" ht="31" customHeight="1" spans="1:79">
      <c r="A198" s="197">
        <v>45440</v>
      </c>
      <c r="B198" s="198" t="s">
        <v>148</v>
      </c>
      <c r="C198" s="198" t="s">
        <v>149</v>
      </c>
      <c r="D198" s="210">
        <v>4500134335</v>
      </c>
      <c r="E198" s="211">
        <v>20068400</v>
      </c>
      <c r="F198" s="210" t="s">
        <v>3786</v>
      </c>
      <c r="G198" s="26" t="s">
        <v>1181</v>
      </c>
      <c r="H198" s="26" t="s">
        <v>1140</v>
      </c>
      <c r="I198" s="26">
        <v>1989</v>
      </c>
      <c r="J198" s="26">
        <v>0</v>
      </c>
      <c r="K198" s="26">
        <v>13</v>
      </c>
      <c r="L198" s="49">
        <f t="shared" si="130"/>
        <v>153</v>
      </c>
      <c r="M198" s="31">
        <v>45489</v>
      </c>
      <c r="N198" s="31" t="s">
        <v>3787</v>
      </c>
      <c r="O198" s="50"/>
      <c r="P198" s="50"/>
      <c r="Q198" s="26"/>
      <c r="R198" s="72">
        <v>45440</v>
      </c>
      <c r="S198" s="26" t="s">
        <v>48</v>
      </c>
      <c r="T198" s="72" t="s">
        <v>49</v>
      </c>
      <c r="U198" s="25" t="s">
        <v>3785</v>
      </c>
      <c r="V198" s="253" t="s">
        <v>154</v>
      </c>
      <c r="W198" s="25">
        <v>1.9425</v>
      </c>
      <c r="X198" s="68">
        <f t="shared" si="138"/>
        <v>3863.6325</v>
      </c>
      <c r="Y198" s="26"/>
      <c r="Z198" s="26" t="s">
        <v>1181</v>
      </c>
      <c r="AA198" s="26" t="s">
        <v>53</v>
      </c>
      <c r="AB198" s="38"/>
      <c r="AC198" s="185"/>
      <c r="AD198" s="185"/>
      <c r="AE198" s="36">
        <f t="shared" si="131"/>
        <v>-1989</v>
      </c>
      <c r="AF198" s="185"/>
      <c r="AG198" s="26"/>
      <c r="AH198" s="26"/>
      <c r="AI198" s="26">
        <f t="shared" si="139"/>
        <v>1989</v>
      </c>
      <c r="AJ198" s="26"/>
      <c r="AK198" s="26">
        <f t="shared" si="140"/>
        <v>1989</v>
      </c>
      <c r="AM198" s="26"/>
      <c r="AN198" s="26"/>
      <c r="AP198" s="26">
        <f t="shared" si="141"/>
        <v>1989</v>
      </c>
      <c r="AQ198" s="26"/>
      <c r="AR198" s="26"/>
      <c r="AS198" s="26"/>
      <c r="AY198" s="4">
        <f t="shared" si="142"/>
        <v>153</v>
      </c>
      <c r="BM198" s="191">
        <f t="shared" si="143"/>
        <v>1989</v>
      </c>
      <c r="BN198" s="191" t="e">
        <f>'77485 S3 明细'!#REF!+BM198</f>
        <v>#REF!</v>
      </c>
      <c r="BO198" s="191"/>
      <c r="BP198" s="191"/>
      <c r="BQ198" s="191"/>
      <c r="BR198" s="191"/>
      <c r="BS198" s="4" t="e">
        <f>SUM('77485 S3 明细'!BV$1:BZ$1)-BN198</f>
        <v>#REF!</v>
      </c>
      <c r="BU198" s="4">
        <f t="shared" si="144"/>
        <v>153</v>
      </c>
      <c r="BV198" s="289" t="e">
        <f>'77485 S3 明细'!#REF!+BU198</f>
        <v>#REF!</v>
      </c>
      <c r="BW198" s="191"/>
      <c r="BX198" s="191"/>
      <c r="BY198" s="191"/>
      <c r="BZ198" s="191" t="e">
        <f>'77485 S3 明细'!$CD$1+'77485 S3 明细'!$CE$1+'77485 S3 明细'!$CF$1+'77485 S3 明细'!$CG$1-BV198</f>
        <v>#REF!</v>
      </c>
      <c r="CA198" s="191"/>
    </row>
    <row r="199" s="4" customFormat="1" ht="31" customHeight="1" spans="1:79">
      <c r="A199" s="193">
        <v>45435</v>
      </c>
      <c r="B199" s="212" t="s">
        <v>148</v>
      </c>
      <c r="C199" s="213" t="s">
        <v>149</v>
      </c>
      <c r="D199" s="134">
        <v>4500134469</v>
      </c>
      <c r="E199" s="214" t="s">
        <v>3788</v>
      </c>
      <c r="F199" s="134" t="s">
        <v>3789</v>
      </c>
      <c r="G199" s="26" t="s">
        <v>1181</v>
      </c>
      <c r="H199" s="26" t="s">
        <v>1140</v>
      </c>
      <c r="I199" s="26">
        <v>1508</v>
      </c>
      <c r="J199" s="26">
        <v>0</v>
      </c>
      <c r="K199" s="26">
        <v>13</v>
      </c>
      <c r="L199" s="49">
        <f t="shared" si="130"/>
        <v>116</v>
      </c>
      <c r="M199" s="31">
        <v>45479</v>
      </c>
      <c r="N199" s="31" t="s">
        <v>3787</v>
      </c>
      <c r="O199" s="50"/>
      <c r="P199" s="50"/>
      <c r="Q199" s="26"/>
      <c r="R199" s="72">
        <v>45435</v>
      </c>
      <c r="S199" s="26" t="s">
        <v>48</v>
      </c>
      <c r="T199" s="72" t="s">
        <v>3790</v>
      </c>
      <c r="U199" s="25" t="s">
        <v>3791</v>
      </c>
      <c r="V199" s="135" t="s">
        <v>154</v>
      </c>
      <c r="W199" s="25">
        <v>1.9425</v>
      </c>
      <c r="X199" s="68">
        <f t="shared" si="138"/>
        <v>2929.29</v>
      </c>
      <c r="Y199" s="26"/>
      <c r="Z199" s="26" t="s">
        <v>1181</v>
      </c>
      <c r="AA199" s="26" t="s">
        <v>53</v>
      </c>
      <c r="AB199" s="38"/>
      <c r="AC199" s="185"/>
      <c r="AD199" s="185"/>
      <c r="AE199" s="36">
        <f t="shared" si="131"/>
        <v>-1508</v>
      </c>
      <c r="AF199" s="185"/>
      <c r="AG199" s="26"/>
      <c r="AH199" s="26"/>
      <c r="AI199" s="26">
        <f t="shared" si="139"/>
        <v>1508</v>
      </c>
      <c r="AJ199" s="26"/>
      <c r="AK199" s="26">
        <f t="shared" si="140"/>
        <v>1508</v>
      </c>
      <c r="AM199" s="26"/>
      <c r="AN199" s="26"/>
      <c r="AP199" s="26">
        <f t="shared" si="141"/>
        <v>1508</v>
      </c>
      <c r="AQ199" s="26"/>
      <c r="AR199" s="26"/>
      <c r="AS199" s="26"/>
      <c r="AY199" s="4">
        <f t="shared" si="142"/>
        <v>116</v>
      </c>
      <c r="BM199" s="191">
        <f t="shared" si="143"/>
        <v>1508</v>
      </c>
      <c r="BN199" s="191" t="e">
        <f>'77485 S3 明细'!#REF!+BM199</f>
        <v>#REF!</v>
      </c>
      <c r="BO199" s="191"/>
      <c r="BP199" s="191"/>
      <c r="BQ199" s="191"/>
      <c r="BR199" s="191" t="e">
        <f>'77485 S3 明细'!$BV$1+'77485 S3 明细'!$BW$1+'77485 S3 明细'!$BX$1+'77485 S3 明细'!$BY$1-BN199</f>
        <v>#REF!</v>
      </c>
      <c r="BU199" s="4">
        <f t="shared" si="144"/>
        <v>116</v>
      </c>
      <c r="BV199" s="289" t="e">
        <f>'77485 S3 明细'!#REF!+BU199</f>
        <v>#REF!</v>
      </c>
      <c r="BW199" s="191"/>
      <c r="BX199" s="191"/>
      <c r="BY199" s="191"/>
      <c r="BZ199" s="191" t="e">
        <f>'77485 S3 明细'!$CD$1+'77485 S3 明细'!$CE$1+'77485 S3 明细'!$CF$1+'77485 S3 明细'!$CG$1-BV199</f>
        <v>#REF!</v>
      </c>
      <c r="CA199" s="191"/>
    </row>
    <row r="200" s="4" customFormat="1" ht="31" customHeight="1" spans="1:79">
      <c r="A200" s="215">
        <v>45463</v>
      </c>
      <c r="B200" s="216" t="s">
        <v>1354</v>
      </c>
      <c r="C200" s="198" t="s">
        <v>84</v>
      </c>
      <c r="D200" s="217">
        <v>4500137717</v>
      </c>
      <c r="E200" s="217" t="s">
        <v>3792</v>
      </c>
      <c r="F200" s="217" t="s">
        <v>3793</v>
      </c>
      <c r="G200" s="26" t="s">
        <v>1147</v>
      </c>
      <c r="H200" s="26" t="s">
        <v>1148</v>
      </c>
      <c r="I200" s="26">
        <v>24</v>
      </c>
      <c r="J200" s="26">
        <v>0</v>
      </c>
      <c r="K200" s="26">
        <v>12</v>
      </c>
      <c r="L200" s="49">
        <f t="shared" si="130"/>
        <v>2</v>
      </c>
      <c r="M200" s="31">
        <v>45525</v>
      </c>
      <c r="N200" s="31">
        <v>45521</v>
      </c>
      <c r="O200" s="50"/>
      <c r="P200" s="50"/>
      <c r="Q200" s="26"/>
      <c r="R200" s="72">
        <v>45463</v>
      </c>
      <c r="S200" s="26" t="s">
        <v>48</v>
      </c>
      <c r="T200" s="72" t="s">
        <v>2124</v>
      </c>
      <c r="U200" s="25" t="s">
        <v>3794</v>
      </c>
      <c r="V200" s="259" t="s">
        <v>195</v>
      </c>
      <c r="W200" s="25">
        <v>4.087</v>
      </c>
      <c r="X200" s="68">
        <f t="shared" si="138"/>
        <v>98.088</v>
      </c>
      <c r="Y200" s="26"/>
      <c r="Z200" s="184" t="s">
        <v>1147</v>
      </c>
      <c r="AA200" s="26" t="s">
        <v>53</v>
      </c>
      <c r="AB200" s="38"/>
      <c r="AC200" s="26"/>
      <c r="AD200" s="185"/>
      <c r="AE200" s="36">
        <f t="shared" si="131"/>
        <v>-24</v>
      </c>
      <c r="AF200" s="185"/>
      <c r="AG200" s="26"/>
      <c r="AH200" s="26"/>
      <c r="AI200" s="26">
        <f t="shared" si="136"/>
        <v>48</v>
      </c>
      <c r="AJ200" s="26"/>
      <c r="AK200" s="26"/>
      <c r="AL200" s="4">
        <f t="shared" si="137"/>
        <v>48</v>
      </c>
      <c r="AM200" s="26"/>
      <c r="AN200" s="26"/>
      <c r="AP200" s="26">
        <f t="shared" ref="AP200:AP205" si="145">I200*2</f>
        <v>48</v>
      </c>
      <c r="AQ200" s="26"/>
      <c r="AR200" s="26"/>
      <c r="AS200" s="26"/>
      <c r="BI200" s="4">
        <f>I200</f>
        <v>24</v>
      </c>
      <c r="BJ200" s="4">
        <f t="shared" ref="BJ200:BJ205" si="146">I200</f>
        <v>24</v>
      </c>
      <c r="BK200" s="4">
        <f t="shared" ref="BK200:BK205" si="147">I200</f>
        <v>24</v>
      </c>
      <c r="BM200" s="191">
        <f t="shared" si="143"/>
        <v>48</v>
      </c>
      <c r="BN200" s="191" t="e">
        <f>'77485 S3 明细'!#REF!+BM200</f>
        <v>#REF!</v>
      </c>
      <c r="BO200" s="191"/>
      <c r="BP200" s="191"/>
      <c r="BQ200" s="191"/>
      <c r="BR200" s="191"/>
      <c r="BS200" s="4" t="e">
        <f>SUM('77485 S3 明细'!BV$1:BZ$1)-BN200</f>
        <v>#REF!</v>
      </c>
      <c r="BU200" s="4">
        <f t="shared" si="144"/>
        <v>0</v>
      </c>
      <c r="BV200" s="289" t="e">
        <f>'77485 S3 明细'!#REF!+BU200</f>
        <v>#REF!</v>
      </c>
      <c r="BW200" s="191"/>
      <c r="BX200" s="191"/>
      <c r="BY200" s="191"/>
      <c r="BZ200" s="191" t="e">
        <f>'77485 S3 明细'!$CD$1+'77485 S3 明细'!$CE$1+'77485 S3 明细'!$CF$1+'77485 S3 明细'!$CG$1-BV200</f>
        <v>#REF!</v>
      </c>
      <c r="CA200" s="191"/>
    </row>
    <row r="201" s="10" customFormat="1" ht="31" customHeight="1" spans="1:79">
      <c r="A201" s="218">
        <v>45482</v>
      </c>
      <c r="B201" s="219" t="s">
        <v>1354</v>
      </c>
      <c r="C201" s="220" t="s">
        <v>84</v>
      </c>
      <c r="D201" s="221">
        <v>4500139622</v>
      </c>
      <c r="E201" s="221" t="s">
        <v>3795</v>
      </c>
      <c r="F201" s="221" t="s">
        <v>3796</v>
      </c>
      <c r="G201" s="205" t="s">
        <v>1147</v>
      </c>
      <c r="H201" s="205" t="s">
        <v>1148</v>
      </c>
      <c r="I201" s="205">
        <v>540</v>
      </c>
      <c r="J201" s="205">
        <v>0</v>
      </c>
      <c r="K201" s="205">
        <v>12</v>
      </c>
      <c r="L201" s="242">
        <f t="shared" si="130"/>
        <v>45</v>
      </c>
      <c r="M201" s="243">
        <v>45533</v>
      </c>
      <c r="N201" s="243">
        <v>45530</v>
      </c>
      <c r="O201" s="244"/>
      <c r="P201" s="244"/>
      <c r="Q201" s="205"/>
      <c r="R201" s="254"/>
      <c r="S201" s="205"/>
      <c r="T201" s="254"/>
      <c r="U201" s="255" t="s">
        <v>3797</v>
      </c>
      <c r="V201" s="260" t="s">
        <v>195</v>
      </c>
      <c r="W201" s="255">
        <v>4.087</v>
      </c>
      <c r="X201" s="257">
        <f t="shared" si="138"/>
        <v>2206.98</v>
      </c>
      <c r="Y201" s="205"/>
      <c r="Z201" s="277"/>
      <c r="AA201" s="205"/>
      <c r="AB201" s="274"/>
      <c r="AC201" s="205"/>
      <c r="AD201" s="275"/>
      <c r="AE201" s="276"/>
      <c r="AF201" s="275"/>
      <c r="AG201" s="205"/>
      <c r="AH201" s="205"/>
      <c r="AI201" s="205">
        <f t="shared" si="136"/>
        <v>1080</v>
      </c>
      <c r="AJ201" s="205"/>
      <c r="AK201" s="205"/>
      <c r="AL201" s="10">
        <f t="shared" si="137"/>
        <v>1080</v>
      </c>
      <c r="AM201" s="205"/>
      <c r="AN201" s="205"/>
      <c r="AP201" s="205">
        <f t="shared" si="145"/>
        <v>1080</v>
      </c>
      <c r="AQ201" s="205"/>
      <c r="AR201" s="205"/>
      <c r="AS201" s="205"/>
      <c r="BM201" s="287"/>
      <c r="BN201" s="287"/>
      <c r="BO201" s="287"/>
      <c r="BP201" s="287"/>
      <c r="BQ201" s="287"/>
      <c r="BR201" s="287"/>
      <c r="BV201" s="287"/>
      <c r="BW201" s="287"/>
      <c r="BX201" s="287"/>
      <c r="BY201" s="287"/>
      <c r="BZ201" s="287"/>
      <c r="CA201" s="287"/>
    </row>
    <row r="202" s="10" customFormat="1" ht="31" customHeight="1" spans="1:79">
      <c r="A202" s="218">
        <v>45482</v>
      </c>
      <c r="B202" s="219" t="s">
        <v>1354</v>
      </c>
      <c r="C202" s="220" t="s">
        <v>84</v>
      </c>
      <c r="D202" s="221">
        <v>4500139622</v>
      </c>
      <c r="E202" s="221" t="s">
        <v>3798</v>
      </c>
      <c r="F202" s="221" t="s">
        <v>3799</v>
      </c>
      <c r="G202" s="205" t="s">
        <v>1147</v>
      </c>
      <c r="H202" s="205" t="s">
        <v>1148</v>
      </c>
      <c r="I202" s="205">
        <v>336</v>
      </c>
      <c r="J202" s="205">
        <v>0</v>
      </c>
      <c r="K202" s="205">
        <v>12</v>
      </c>
      <c r="L202" s="242">
        <f t="shared" si="130"/>
        <v>28</v>
      </c>
      <c r="M202" s="243">
        <v>45533</v>
      </c>
      <c r="N202" s="243">
        <v>45530</v>
      </c>
      <c r="O202" s="244"/>
      <c r="P202" s="244"/>
      <c r="Q202" s="205"/>
      <c r="R202" s="254"/>
      <c r="S202" s="205"/>
      <c r="T202" s="254"/>
      <c r="U202" s="255" t="s">
        <v>3797</v>
      </c>
      <c r="V202" s="260" t="s">
        <v>195</v>
      </c>
      <c r="W202" s="255">
        <v>4.087</v>
      </c>
      <c r="X202" s="257">
        <f t="shared" si="138"/>
        <v>1373.232</v>
      </c>
      <c r="Y202" s="205"/>
      <c r="Z202" s="277"/>
      <c r="AA202" s="205"/>
      <c r="AB202" s="274"/>
      <c r="AC202" s="205"/>
      <c r="AD202" s="275"/>
      <c r="AE202" s="276"/>
      <c r="AF202" s="275"/>
      <c r="AG202" s="205"/>
      <c r="AH202" s="205"/>
      <c r="AI202" s="205">
        <f t="shared" si="136"/>
        <v>672</v>
      </c>
      <c r="AJ202" s="205"/>
      <c r="AK202" s="205"/>
      <c r="AL202" s="10">
        <f t="shared" si="137"/>
        <v>672</v>
      </c>
      <c r="AM202" s="205"/>
      <c r="AN202" s="205"/>
      <c r="AP202" s="205">
        <f t="shared" si="145"/>
        <v>672</v>
      </c>
      <c r="AQ202" s="205"/>
      <c r="AR202" s="205"/>
      <c r="AS202" s="205"/>
      <c r="BM202" s="287"/>
      <c r="BN202" s="287"/>
      <c r="BO202" s="287"/>
      <c r="BP202" s="287"/>
      <c r="BQ202" s="287"/>
      <c r="BR202" s="287"/>
      <c r="BV202" s="287"/>
      <c r="BW202" s="287"/>
      <c r="BX202" s="287"/>
      <c r="BY202" s="287"/>
      <c r="BZ202" s="287"/>
      <c r="CA202" s="287"/>
    </row>
    <row r="203" s="4" customFormat="1" ht="31" customHeight="1" spans="1:80">
      <c r="A203" s="215">
        <v>45526</v>
      </c>
      <c r="B203" s="216" t="s">
        <v>1354</v>
      </c>
      <c r="C203" s="198" t="s">
        <v>84</v>
      </c>
      <c r="D203" s="217">
        <v>4500143709</v>
      </c>
      <c r="E203" s="217" t="s">
        <v>3800</v>
      </c>
      <c r="F203" s="217" t="s">
        <v>3801</v>
      </c>
      <c r="G203" s="26" t="s">
        <v>1147</v>
      </c>
      <c r="H203" s="26" t="s">
        <v>1148</v>
      </c>
      <c r="I203" s="26">
        <v>3156</v>
      </c>
      <c r="J203" s="26">
        <v>0</v>
      </c>
      <c r="K203" s="26">
        <v>12</v>
      </c>
      <c r="L203" s="49">
        <f t="shared" si="130"/>
        <v>263</v>
      </c>
      <c r="M203" s="31">
        <v>45576</v>
      </c>
      <c r="N203" s="31" t="s">
        <v>3802</v>
      </c>
      <c r="O203" s="136"/>
      <c r="P203" s="50"/>
      <c r="Q203" s="26"/>
      <c r="R203" s="72">
        <v>45526</v>
      </c>
      <c r="S203" s="26" t="s">
        <v>48</v>
      </c>
      <c r="T203" s="72" t="s">
        <v>49</v>
      </c>
      <c r="U203" s="21" t="s">
        <v>3803</v>
      </c>
      <c r="V203" s="259" t="s">
        <v>195</v>
      </c>
      <c r="W203" s="25">
        <v>4.12024</v>
      </c>
      <c r="X203" s="68">
        <f t="shared" si="138"/>
        <v>13003.47744</v>
      </c>
      <c r="Y203" s="26"/>
      <c r="Z203" s="26"/>
      <c r="AA203" s="26"/>
      <c r="AB203" s="38"/>
      <c r="AC203" s="26"/>
      <c r="AD203" s="36"/>
      <c r="AE203" s="36"/>
      <c r="AF203" s="185"/>
      <c r="AG203" s="26"/>
      <c r="AH203" s="26"/>
      <c r="AI203" s="26">
        <f t="shared" si="136"/>
        <v>6312</v>
      </c>
      <c r="AJ203" s="26"/>
      <c r="AK203" s="26"/>
      <c r="AL203" s="4">
        <f t="shared" si="137"/>
        <v>6312</v>
      </c>
      <c r="AM203" s="26"/>
      <c r="AN203" s="26"/>
      <c r="AP203" s="26">
        <f t="shared" si="145"/>
        <v>6312</v>
      </c>
      <c r="AQ203" s="26"/>
      <c r="AR203" s="26"/>
      <c r="AS203" s="26"/>
      <c r="BJ203" s="4">
        <f t="shared" si="146"/>
        <v>3156</v>
      </c>
      <c r="BK203" s="4">
        <f t="shared" si="147"/>
        <v>3156</v>
      </c>
      <c r="BL203" s="4">
        <f t="shared" ref="BL203:BL205" si="148">I203</f>
        <v>3156</v>
      </c>
      <c r="BN203" s="191">
        <f t="shared" ref="BN203:BN205" si="149">AI203+AJ203</f>
        <v>6312</v>
      </c>
      <c r="BO203" s="191" t="e">
        <f>取消单!BO205+BN203</f>
        <v>#REF!</v>
      </c>
      <c r="BP203" s="191"/>
      <c r="BQ203" s="191"/>
      <c r="BR203" s="191"/>
      <c r="BS203" s="191"/>
      <c r="BT203" s="4" t="e">
        <f>SUM('77485 S3 明细'!BV$1:BZ$1)-BO203</f>
        <v>#REF!</v>
      </c>
      <c r="BV203" s="4">
        <f t="shared" ref="BV203:BV205" si="150">AT203+AU203+AY203+AZ203</f>
        <v>0</v>
      </c>
      <c r="BW203" s="191" t="e">
        <f>取消单!BW205+BV203</f>
        <v>#REF!</v>
      </c>
      <c r="BX203" s="191"/>
      <c r="BY203" s="191"/>
      <c r="BZ203" s="191"/>
      <c r="CA203" s="191"/>
      <c r="CB203" s="191"/>
    </row>
    <row r="204" s="4" customFormat="1" ht="31" customHeight="1" spans="1:80">
      <c r="A204" s="215">
        <v>45526</v>
      </c>
      <c r="B204" s="216" t="s">
        <v>1354</v>
      </c>
      <c r="C204" s="198" t="s">
        <v>84</v>
      </c>
      <c r="D204" s="217">
        <v>4500143730</v>
      </c>
      <c r="E204" s="217" t="s">
        <v>3804</v>
      </c>
      <c r="F204" s="217" t="s">
        <v>3805</v>
      </c>
      <c r="G204" s="26" t="s">
        <v>1147</v>
      </c>
      <c r="H204" s="26" t="s">
        <v>1148</v>
      </c>
      <c r="I204" s="26">
        <v>2628</v>
      </c>
      <c r="J204" s="26">
        <v>0</v>
      </c>
      <c r="K204" s="26">
        <v>12</v>
      </c>
      <c r="L204" s="49">
        <f t="shared" si="130"/>
        <v>219</v>
      </c>
      <c r="M204" s="31">
        <v>45576</v>
      </c>
      <c r="N204" s="31" t="s">
        <v>3802</v>
      </c>
      <c r="O204" s="136"/>
      <c r="P204" s="50"/>
      <c r="Q204" s="26"/>
      <c r="R204" s="72">
        <v>45526</v>
      </c>
      <c r="S204" s="26" t="s">
        <v>48</v>
      </c>
      <c r="T204" s="72" t="s">
        <v>49</v>
      </c>
      <c r="U204" s="21" t="s">
        <v>3806</v>
      </c>
      <c r="V204" s="259" t="s">
        <v>195</v>
      </c>
      <c r="W204" s="25">
        <v>4.1142</v>
      </c>
      <c r="X204" s="68">
        <f t="shared" si="138"/>
        <v>10812.1176</v>
      </c>
      <c r="Y204" s="26"/>
      <c r="Z204" s="26"/>
      <c r="AA204" s="26"/>
      <c r="AB204" s="38"/>
      <c r="AC204" s="26"/>
      <c r="AD204" s="36"/>
      <c r="AE204" s="36"/>
      <c r="AF204" s="185"/>
      <c r="AG204" s="26"/>
      <c r="AH204" s="26"/>
      <c r="AI204" s="26">
        <f t="shared" si="136"/>
        <v>5256</v>
      </c>
      <c r="AJ204" s="26"/>
      <c r="AK204" s="26"/>
      <c r="AL204" s="4">
        <f t="shared" si="137"/>
        <v>5256</v>
      </c>
      <c r="AM204" s="26"/>
      <c r="AN204" s="26"/>
      <c r="AP204" s="26">
        <f t="shared" si="145"/>
        <v>5256</v>
      </c>
      <c r="AQ204" s="26"/>
      <c r="AR204" s="26"/>
      <c r="AS204" s="26"/>
      <c r="BJ204" s="4">
        <f t="shared" si="146"/>
        <v>2628</v>
      </c>
      <c r="BK204" s="4">
        <f t="shared" si="147"/>
        <v>2628</v>
      </c>
      <c r="BL204" s="4">
        <f t="shared" si="148"/>
        <v>2628</v>
      </c>
      <c r="BN204" s="191">
        <f t="shared" si="149"/>
        <v>5256</v>
      </c>
      <c r="BO204" s="191" t="e">
        <f>'77485 S3 明细'!#REF!+BN204</f>
        <v>#REF!</v>
      </c>
      <c r="BP204" s="191"/>
      <c r="BQ204" s="191"/>
      <c r="BR204" s="191"/>
      <c r="BS204" s="191"/>
      <c r="BT204" s="4" t="e">
        <f>SUM('77485 S3 明细'!BV$1:BZ$1)-BO204</f>
        <v>#REF!</v>
      </c>
      <c r="BV204" s="4">
        <f t="shared" si="150"/>
        <v>0</v>
      </c>
      <c r="BW204" s="191" t="e">
        <f>'77485 S3 明细'!#REF!+BV204</f>
        <v>#REF!</v>
      </c>
      <c r="BX204" s="191"/>
      <c r="BY204" s="191"/>
      <c r="BZ204" s="191"/>
      <c r="CA204" s="191"/>
      <c r="CB204" s="191"/>
    </row>
    <row r="205" s="4" customFormat="1" ht="31" customHeight="1" spans="1:80">
      <c r="A205" s="215">
        <v>45526</v>
      </c>
      <c r="B205" s="216" t="s">
        <v>1354</v>
      </c>
      <c r="C205" s="198" t="s">
        <v>84</v>
      </c>
      <c r="D205" s="217" t="s">
        <v>3807</v>
      </c>
      <c r="E205" s="217" t="s">
        <v>3808</v>
      </c>
      <c r="F205" s="217" t="s">
        <v>3809</v>
      </c>
      <c r="G205" s="26" t="s">
        <v>1147</v>
      </c>
      <c r="H205" s="26" t="s">
        <v>1148</v>
      </c>
      <c r="I205" s="26">
        <v>180</v>
      </c>
      <c r="J205" s="26">
        <v>0</v>
      </c>
      <c r="K205" s="26">
        <v>12</v>
      </c>
      <c r="L205" s="49">
        <f t="shared" si="130"/>
        <v>15</v>
      </c>
      <c r="M205" s="31">
        <v>45576</v>
      </c>
      <c r="N205" s="31" t="s">
        <v>3802</v>
      </c>
      <c r="O205" s="136"/>
      <c r="P205" s="50"/>
      <c r="Q205" s="26"/>
      <c r="R205" s="72">
        <v>45526</v>
      </c>
      <c r="S205" s="26" t="s">
        <v>48</v>
      </c>
      <c r="T205" s="72" t="s">
        <v>49</v>
      </c>
      <c r="U205" s="21" t="s">
        <v>3806</v>
      </c>
      <c r="V205" s="259" t="s">
        <v>195</v>
      </c>
      <c r="W205" s="25">
        <v>4.1142</v>
      </c>
      <c r="X205" s="68">
        <f t="shared" si="138"/>
        <v>740.556</v>
      </c>
      <c r="Y205" s="26"/>
      <c r="Z205" s="26"/>
      <c r="AA205" s="26"/>
      <c r="AB205" s="38"/>
      <c r="AC205" s="26"/>
      <c r="AD205" s="36"/>
      <c r="AE205" s="36"/>
      <c r="AF205" s="185"/>
      <c r="AG205" s="26"/>
      <c r="AH205" s="26"/>
      <c r="AI205" s="26">
        <f t="shared" si="136"/>
        <v>360</v>
      </c>
      <c r="AJ205" s="26"/>
      <c r="AK205" s="26"/>
      <c r="AL205" s="4">
        <f t="shared" si="137"/>
        <v>360</v>
      </c>
      <c r="AM205" s="26"/>
      <c r="AN205" s="26"/>
      <c r="AP205" s="26">
        <f t="shared" si="145"/>
        <v>360</v>
      </c>
      <c r="AQ205" s="26"/>
      <c r="AR205" s="26"/>
      <c r="AS205" s="26"/>
      <c r="BJ205" s="4">
        <f t="shared" si="146"/>
        <v>180</v>
      </c>
      <c r="BK205" s="4">
        <f t="shared" si="147"/>
        <v>180</v>
      </c>
      <c r="BL205" s="4">
        <f t="shared" si="148"/>
        <v>180</v>
      </c>
      <c r="BN205" s="191">
        <f t="shared" si="149"/>
        <v>360</v>
      </c>
      <c r="BO205" s="191" t="e">
        <f>BO204+BN205</f>
        <v>#REF!</v>
      </c>
      <c r="BP205" s="191"/>
      <c r="BQ205" s="191"/>
      <c r="BR205" s="191"/>
      <c r="BS205" s="191"/>
      <c r="BT205" s="4" t="e">
        <f>SUM('77485 S3 明细'!BV$1:BZ$1)-BO205</f>
        <v>#REF!</v>
      </c>
      <c r="BV205" s="4">
        <f t="shared" si="150"/>
        <v>0</v>
      </c>
      <c r="BW205" s="191" t="e">
        <f>BW204+BV205</f>
        <v>#REF!</v>
      </c>
      <c r="BX205" s="191"/>
      <c r="BY205" s="191"/>
      <c r="BZ205" s="191"/>
      <c r="CA205" s="191"/>
      <c r="CB205" s="191"/>
    </row>
    <row r="206" s="4" customFormat="1" ht="31" customHeight="1" spans="1:37">
      <c r="A206" s="197">
        <v>45526</v>
      </c>
      <c r="B206" s="198" t="s">
        <v>1354</v>
      </c>
      <c r="C206" s="198" t="s">
        <v>84</v>
      </c>
      <c r="D206" s="210">
        <v>4500143730</v>
      </c>
      <c r="E206" s="211" t="s">
        <v>3810</v>
      </c>
      <c r="F206" s="210" t="s">
        <v>3811</v>
      </c>
      <c r="G206" s="222" t="s">
        <v>44</v>
      </c>
      <c r="H206" s="22" t="s">
        <v>45</v>
      </c>
      <c r="I206" s="22">
        <v>2396</v>
      </c>
      <c r="J206" s="22">
        <v>0</v>
      </c>
      <c r="K206" s="22">
        <v>4</v>
      </c>
      <c r="L206" s="47">
        <f t="shared" si="130"/>
        <v>599</v>
      </c>
      <c r="M206" s="31">
        <v>45576</v>
      </c>
      <c r="N206" s="31" t="s">
        <v>3802</v>
      </c>
      <c r="O206" s="50"/>
      <c r="P206" s="50"/>
      <c r="Q206" s="26"/>
      <c r="R206" s="66"/>
      <c r="S206" s="66"/>
      <c r="T206" s="66"/>
      <c r="U206" s="21" t="s">
        <v>3812</v>
      </c>
      <c r="V206" s="253" t="s">
        <v>195</v>
      </c>
      <c r="W206" s="261">
        <v>7.6184</v>
      </c>
      <c r="X206" s="64">
        <f t="shared" si="138"/>
        <v>18253.6864</v>
      </c>
      <c r="Y206" s="26"/>
      <c r="Z206" s="222"/>
      <c r="AA206" s="26"/>
      <c r="AB206" s="26"/>
      <c r="AC206" s="50"/>
      <c r="AD206" s="50">
        <f>AC206-I206</f>
        <v>-2396</v>
      </c>
      <c r="AE206" s="26"/>
      <c r="AF206" s="26"/>
      <c r="AG206" s="26"/>
      <c r="AH206" s="3">
        <f>I206</f>
        <v>2396</v>
      </c>
      <c r="AJ206" s="4">
        <f>I206</f>
        <v>2396</v>
      </c>
      <c r="AK206" s="3">
        <f>I206</f>
        <v>2396</v>
      </c>
    </row>
    <row r="207" s="4" customFormat="1" ht="31" customHeight="1" spans="1:80">
      <c r="A207" s="215">
        <v>45544</v>
      </c>
      <c r="B207" s="216" t="s">
        <v>148</v>
      </c>
      <c r="C207" s="198" t="s">
        <v>149</v>
      </c>
      <c r="D207" s="217">
        <v>4500144899</v>
      </c>
      <c r="E207" s="217">
        <v>20301505</v>
      </c>
      <c r="F207" s="217" t="s">
        <v>3813</v>
      </c>
      <c r="G207" s="26" t="s">
        <v>1181</v>
      </c>
      <c r="H207" s="26" t="s">
        <v>1140</v>
      </c>
      <c r="I207" s="26">
        <v>1508</v>
      </c>
      <c r="J207" s="26">
        <v>0</v>
      </c>
      <c r="K207" s="26">
        <v>13</v>
      </c>
      <c r="L207" s="49">
        <f t="shared" si="130"/>
        <v>116</v>
      </c>
      <c r="M207" s="31">
        <v>45586</v>
      </c>
      <c r="N207" s="31">
        <v>45582</v>
      </c>
      <c r="O207" s="136"/>
      <c r="P207" s="50"/>
      <c r="Q207" s="26"/>
      <c r="R207" s="72">
        <v>45549</v>
      </c>
      <c r="S207" s="26" t="s">
        <v>48</v>
      </c>
      <c r="T207" s="72" t="s">
        <v>49</v>
      </c>
      <c r="U207" s="21" t="s">
        <v>3785</v>
      </c>
      <c r="V207" s="259" t="s">
        <v>154</v>
      </c>
      <c r="W207" s="25">
        <v>1.9425</v>
      </c>
      <c r="X207" s="68">
        <f t="shared" si="138"/>
        <v>2929.29</v>
      </c>
      <c r="Y207" s="26"/>
      <c r="Z207" s="26" t="s">
        <v>1181</v>
      </c>
      <c r="AA207" s="26" t="s">
        <v>53</v>
      </c>
      <c r="AB207" s="38" t="s">
        <v>54</v>
      </c>
      <c r="AC207" s="26"/>
      <c r="AD207" s="36"/>
      <c r="AE207" s="36">
        <f>AD207-I207</f>
        <v>-1508</v>
      </c>
      <c r="AF207" s="185"/>
      <c r="AG207" s="26" t="s">
        <v>55</v>
      </c>
      <c r="AH207" s="26"/>
      <c r="AI207" s="26">
        <f>I207</f>
        <v>1508</v>
      </c>
      <c r="AJ207" s="26"/>
      <c r="AK207" s="26">
        <f>I207</f>
        <v>1508</v>
      </c>
      <c r="AM207" s="26"/>
      <c r="AN207" s="26"/>
      <c r="AP207" s="26">
        <f>I207</f>
        <v>1508</v>
      </c>
      <c r="AQ207" s="26"/>
      <c r="AR207" s="26"/>
      <c r="AS207" s="26"/>
      <c r="AY207" s="4">
        <f>I207/13</f>
        <v>116</v>
      </c>
      <c r="BN207" s="191">
        <f>AI207+AJ207</f>
        <v>1508</v>
      </c>
      <c r="BO207" s="289" t="e">
        <f>'77485 S3 明细'!#REF!+BN207</f>
        <v>#REF!</v>
      </c>
      <c r="BP207" s="191"/>
      <c r="BQ207" s="191"/>
      <c r="BR207" s="191"/>
      <c r="BS207" s="191"/>
      <c r="BT207" s="4" t="e">
        <f>SUM('77485 S3 明细'!BV$1:BZ$1)-BO207</f>
        <v>#REF!</v>
      </c>
      <c r="BV207" s="7">
        <f>AT207+AU207+BA207+BB207</f>
        <v>0</v>
      </c>
      <c r="BW207" s="289" t="e">
        <f>'77485 S3 明细'!#REF!+BV207</f>
        <v>#REF!</v>
      </c>
      <c r="BX207" s="191"/>
      <c r="BY207" s="191"/>
      <c r="BZ207" s="191"/>
      <c r="CA207" s="191" t="e">
        <f>'77485 S3 明细'!$CD$1+'77485 S3 明细'!$CE$1+'77485 S3 明细'!$CF$1+'77485 S3 明细'!$CG$1-BW207</f>
        <v>#REF!</v>
      </c>
      <c r="CB207" s="191"/>
    </row>
    <row r="208" s="4" customFormat="1" ht="31" customHeight="1" spans="1:80">
      <c r="A208" s="215">
        <v>45545</v>
      </c>
      <c r="B208" s="216" t="s">
        <v>148</v>
      </c>
      <c r="C208" s="198" t="s">
        <v>149</v>
      </c>
      <c r="D208" s="217">
        <v>4500145062</v>
      </c>
      <c r="E208" s="217">
        <v>20301506</v>
      </c>
      <c r="F208" s="217" t="s">
        <v>3814</v>
      </c>
      <c r="G208" s="26" t="s">
        <v>1181</v>
      </c>
      <c r="H208" s="26" t="s">
        <v>1140</v>
      </c>
      <c r="I208" s="26">
        <v>1508</v>
      </c>
      <c r="J208" s="26">
        <v>0</v>
      </c>
      <c r="K208" s="26">
        <v>13</v>
      </c>
      <c r="L208" s="49">
        <f t="shared" si="130"/>
        <v>116</v>
      </c>
      <c r="M208" s="31">
        <v>45593</v>
      </c>
      <c r="N208" s="31">
        <v>45589</v>
      </c>
      <c r="O208" s="136"/>
      <c r="P208" s="50"/>
      <c r="Q208" s="26"/>
      <c r="R208" s="72" t="s">
        <v>49</v>
      </c>
      <c r="S208" s="26" t="s">
        <v>48</v>
      </c>
      <c r="T208" s="72" t="s">
        <v>49</v>
      </c>
      <c r="U208" s="21" t="s">
        <v>3785</v>
      </c>
      <c r="V208" s="259" t="s">
        <v>154</v>
      </c>
      <c r="W208" s="25">
        <v>1.9425</v>
      </c>
      <c r="X208" s="68">
        <f t="shared" si="138"/>
        <v>2929.29</v>
      </c>
      <c r="Y208" s="26"/>
      <c r="Z208" s="26" t="s">
        <v>1181</v>
      </c>
      <c r="AA208" s="26" t="s">
        <v>53</v>
      </c>
      <c r="AB208" s="38" t="s">
        <v>54</v>
      </c>
      <c r="AC208" s="26"/>
      <c r="AD208" s="36"/>
      <c r="AE208" s="36">
        <f>AD208-I208</f>
        <v>-1508</v>
      </c>
      <c r="AF208" s="185"/>
      <c r="AG208" s="26"/>
      <c r="AH208" s="26"/>
      <c r="AI208" s="26">
        <f>I208</f>
        <v>1508</v>
      </c>
      <c r="AJ208" s="26"/>
      <c r="AK208" s="26">
        <f>I208</f>
        <v>1508</v>
      </c>
      <c r="AM208" s="26"/>
      <c r="AN208" s="26"/>
      <c r="AP208" s="26">
        <f>I208</f>
        <v>1508</v>
      </c>
      <c r="AQ208" s="26"/>
      <c r="AR208" s="26"/>
      <c r="AS208" s="26"/>
      <c r="AY208" s="4">
        <f>I208/13</f>
        <v>116</v>
      </c>
      <c r="BN208" s="191">
        <f>AI208+AJ208</f>
        <v>1508</v>
      </c>
      <c r="BO208" s="289" t="e">
        <f>'77485 S3 明细'!#REF!+BN208</f>
        <v>#REF!</v>
      </c>
      <c r="BP208" s="191"/>
      <c r="BQ208" s="191"/>
      <c r="BR208" s="191"/>
      <c r="BS208" s="191"/>
      <c r="BT208" s="4" t="e">
        <f>SUM('77485 S3 明细'!BV$1:BZ$1)-BO208</f>
        <v>#REF!</v>
      </c>
      <c r="BV208" s="7">
        <f>AT208+AU208+BA208+BB208</f>
        <v>0</v>
      </c>
      <c r="BW208" s="289" t="e">
        <f>'77485 S3 明细'!#REF!+BV208</f>
        <v>#REF!</v>
      </c>
      <c r="BX208" s="191"/>
      <c r="BY208" s="191"/>
      <c r="BZ208" s="191"/>
      <c r="CA208" s="191" t="e">
        <f>'77485 S3 明细'!$CD$1+'77485 S3 明细'!$CE$1+'77485 S3 明细'!$CF$1+'77485 S3 明细'!$CG$1-BW208</f>
        <v>#REF!</v>
      </c>
      <c r="CB208" s="191"/>
    </row>
    <row r="209" s="7" customFormat="1" ht="31" customHeight="1" spans="1:80">
      <c r="A209" s="223">
        <v>45383</v>
      </c>
      <c r="B209" s="224" t="s">
        <v>535</v>
      </c>
      <c r="C209" s="225" t="s">
        <v>70</v>
      </c>
      <c r="D209" s="123">
        <v>4500128257</v>
      </c>
      <c r="E209" s="224" t="s">
        <v>3815</v>
      </c>
      <c r="F209" s="226" t="s">
        <v>3816</v>
      </c>
      <c r="G209" s="109" t="s">
        <v>1147</v>
      </c>
      <c r="H209" s="109" t="s">
        <v>3780</v>
      </c>
      <c r="I209" s="109">
        <v>516</v>
      </c>
      <c r="J209" s="109">
        <v>0</v>
      </c>
      <c r="K209" s="109">
        <v>12</v>
      </c>
      <c r="L209" s="138">
        <f t="shared" si="130"/>
        <v>43</v>
      </c>
      <c r="M209" s="31">
        <v>45432</v>
      </c>
      <c r="N209" s="31" t="s">
        <v>3817</v>
      </c>
      <c r="O209" s="50"/>
      <c r="P209" s="245" t="s">
        <v>46</v>
      </c>
      <c r="Q209" s="109"/>
      <c r="R209" s="151" t="s">
        <v>48</v>
      </c>
      <c r="S209" s="109" t="s">
        <v>3818</v>
      </c>
      <c r="T209" s="151" t="s">
        <v>3819</v>
      </c>
      <c r="U209" s="152" t="s">
        <v>3820</v>
      </c>
      <c r="V209" s="262" t="s">
        <v>541</v>
      </c>
      <c r="W209" s="263">
        <v>4.087</v>
      </c>
      <c r="X209" s="163">
        <f>W209*I209</f>
        <v>2108.892</v>
      </c>
      <c r="Y209" s="109"/>
      <c r="Z209" s="109" t="s">
        <v>3821</v>
      </c>
      <c r="AA209" s="109" t="s">
        <v>53</v>
      </c>
      <c r="AB209" s="176" t="s">
        <v>54</v>
      </c>
      <c r="AC209" s="109" t="s">
        <v>55</v>
      </c>
      <c r="AD209" s="137">
        <v>516</v>
      </c>
      <c r="AE209" s="36">
        <f>AD209-I209</f>
        <v>0</v>
      </c>
      <c r="AF209" s="180"/>
      <c r="AG209" s="109" t="s">
        <v>55</v>
      </c>
      <c r="AH209" s="109"/>
      <c r="AI209" s="109">
        <f>I209*2</f>
        <v>1032</v>
      </c>
      <c r="AJ209" s="109"/>
      <c r="AK209" s="109"/>
      <c r="AM209" s="109">
        <f>I209*2</f>
        <v>1032</v>
      </c>
      <c r="AN209" s="109"/>
      <c r="AO209" s="4"/>
      <c r="AP209" s="109">
        <f>I209*2</f>
        <v>1032</v>
      </c>
      <c r="AQ209" s="109"/>
      <c r="AR209" s="109"/>
      <c r="AS209" s="109"/>
      <c r="BJ209" s="7">
        <f>I209</f>
        <v>516</v>
      </c>
      <c r="BK209" s="7">
        <f>I209</f>
        <v>516</v>
      </c>
      <c r="BL209" s="7">
        <f>I209</f>
        <v>516</v>
      </c>
      <c r="BN209" s="191">
        <f>AI209+AJ209</f>
        <v>1032</v>
      </c>
      <c r="BO209" s="290" t="e">
        <f>'77485 S3 明细'!#REF!+BN209</f>
        <v>#REF!</v>
      </c>
      <c r="BP209" s="289"/>
      <c r="BQ209" s="289"/>
      <c r="BR209" s="191"/>
      <c r="BS209" s="289" t="e">
        <f>'77485 S3 明细'!$BV$1+'77485 S3 明细'!$BW$1+'77485 S3 明细'!$BX$1+'77485 S3 明细'!$BY$1-BO209</f>
        <v>#REF!</v>
      </c>
      <c r="BV209" s="292">
        <f>AT209+AU209+BA209+BB209</f>
        <v>0</v>
      </c>
      <c r="BW209" s="290" t="e">
        <f>'77485 S3 明细'!#REF!+BV209</f>
        <v>#REF!</v>
      </c>
      <c r="BX209" s="289"/>
      <c r="BY209" s="289"/>
      <c r="BZ209" s="289"/>
      <c r="CA209" s="289" t="e">
        <f>'77485 S3 明细'!$CD$1+'77485 S3 明细'!$CE$1+'77485 S3 明细'!$CF$1+'77485 S3 明细'!$CG$1-BW209</f>
        <v>#REF!</v>
      </c>
      <c r="CB209" s="289"/>
    </row>
    <row r="210" s="4" customFormat="1" ht="31" customHeight="1" spans="1:80">
      <c r="A210" s="215">
        <v>45587</v>
      </c>
      <c r="B210" s="216" t="s">
        <v>1354</v>
      </c>
      <c r="C210" s="198" t="s">
        <v>84</v>
      </c>
      <c r="D210" s="217">
        <v>4500148503</v>
      </c>
      <c r="E210" s="216" t="s">
        <v>3822</v>
      </c>
      <c r="F210" s="217" t="s">
        <v>3823</v>
      </c>
      <c r="G210" s="26" t="s">
        <v>1147</v>
      </c>
      <c r="H210" s="26" t="s">
        <v>1148</v>
      </c>
      <c r="I210" s="26">
        <v>768</v>
      </c>
      <c r="J210" s="26">
        <v>0</v>
      </c>
      <c r="K210" s="26">
        <v>12</v>
      </c>
      <c r="L210" s="49">
        <f t="shared" si="130"/>
        <v>64</v>
      </c>
      <c r="M210" s="31">
        <v>45644</v>
      </c>
      <c r="N210" s="31" t="s">
        <v>3824</v>
      </c>
      <c r="O210" s="136"/>
      <c r="P210" s="50"/>
      <c r="Q210" s="26"/>
      <c r="R210" s="72" t="s">
        <v>3825</v>
      </c>
      <c r="S210" s="26" t="s">
        <v>48</v>
      </c>
      <c r="T210" s="72" t="s">
        <v>49</v>
      </c>
      <c r="U210" s="264" t="s">
        <v>3826</v>
      </c>
      <c r="V210" s="31" t="s">
        <v>721</v>
      </c>
      <c r="W210" s="25">
        <v>4.1259</v>
      </c>
      <c r="X210" s="68">
        <f>I210*W210</f>
        <v>3168.6912</v>
      </c>
      <c r="Y210" s="26"/>
      <c r="Z210" s="26" t="s">
        <v>1147</v>
      </c>
      <c r="AA210" s="26" t="s">
        <v>53</v>
      </c>
      <c r="AB210" s="38"/>
      <c r="AC210" s="26"/>
      <c r="AD210" s="36"/>
      <c r="AE210" s="36"/>
      <c r="AF210" s="185"/>
      <c r="AG210" s="26"/>
      <c r="AH210" s="26"/>
      <c r="AI210" s="26">
        <f>I210*2</f>
        <v>1536</v>
      </c>
      <c r="AJ210" s="26"/>
      <c r="AK210" s="26">
        <f t="shared" ref="AK210:AK215" si="151">I210*2</f>
        <v>1536</v>
      </c>
      <c r="AM210" s="26"/>
      <c r="AN210" s="26"/>
      <c r="AP210" s="26">
        <f>I210*2</f>
        <v>1536</v>
      </c>
      <c r="AQ210" s="26"/>
      <c r="AR210" s="26"/>
      <c r="AS210" s="26"/>
      <c r="BJ210" s="4">
        <f>I210</f>
        <v>768</v>
      </c>
      <c r="BK210" s="4">
        <f>I210</f>
        <v>768</v>
      </c>
      <c r="BL210" s="4">
        <f>I210</f>
        <v>768</v>
      </c>
      <c r="BN210" s="191">
        <f>AI210+AJ210</f>
        <v>1536</v>
      </c>
      <c r="BO210" s="191">
        <f>取消单!BO233+BN210</f>
        <v>1536</v>
      </c>
      <c r="BP210" s="191"/>
      <c r="BQ210" s="191"/>
      <c r="BR210" s="191"/>
      <c r="BS210" s="191"/>
      <c r="BW210" s="191"/>
      <c r="BX210" s="191"/>
      <c r="BY210" s="191"/>
      <c r="BZ210" s="191"/>
      <c r="CA210" s="191"/>
      <c r="CB210" s="191"/>
    </row>
    <row r="211" s="4" customFormat="1" ht="31" customHeight="1" spans="1:80">
      <c r="A211" s="215">
        <v>45587</v>
      </c>
      <c r="B211" s="216" t="s">
        <v>1354</v>
      </c>
      <c r="C211" s="198" t="s">
        <v>84</v>
      </c>
      <c r="D211" s="217" t="s">
        <v>3827</v>
      </c>
      <c r="E211" s="216" t="s">
        <v>3828</v>
      </c>
      <c r="F211" s="217" t="s">
        <v>3829</v>
      </c>
      <c r="G211" s="26" t="s">
        <v>1147</v>
      </c>
      <c r="H211" s="26" t="s">
        <v>1148</v>
      </c>
      <c r="I211" s="26">
        <v>576</v>
      </c>
      <c r="J211" s="26">
        <v>0</v>
      </c>
      <c r="K211" s="26">
        <v>12</v>
      </c>
      <c r="L211" s="49">
        <f t="shared" si="130"/>
        <v>48</v>
      </c>
      <c r="M211" s="31">
        <v>45644</v>
      </c>
      <c r="N211" s="31" t="s">
        <v>3824</v>
      </c>
      <c r="O211" s="136"/>
      <c r="P211" s="50"/>
      <c r="Q211" s="26"/>
      <c r="R211" s="72" t="s">
        <v>3825</v>
      </c>
      <c r="S211" s="26" t="s">
        <v>48</v>
      </c>
      <c r="T211" s="72" t="s">
        <v>49</v>
      </c>
      <c r="U211" s="264" t="s">
        <v>3826</v>
      </c>
      <c r="V211" s="31" t="s">
        <v>721</v>
      </c>
      <c r="W211" s="25">
        <v>4.1259</v>
      </c>
      <c r="X211" s="68">
        <f>I211*W211</f>
        <v>2376.5184</v>
      </c>
      <c r="Y211" s="26"/>
      <c r="Z211" s="26" t="s">
        <v>1147</v>
      </c>
      <c r="AA211" s="26" t="s">
        <v>53</v>
      </c>
      <c r="AB211" s="38"/>
      <c r="AC211" s="26"/>
      <c r="AD211" s="36"/>
      <c r="AE211" s="36"/>
      <c r="AF211" s="185"/>
      <c r="AG211" s="26"/>
      <c r="AH211" s="26"/>
      <c r="AI211" s="26">
        <f>I211*2</f>
        <v>1152</v>
      </c>
      <c r="AJ211" s="26"/>
      <c r="AK211" s="26">
        <f t="shared" si="151"/>
        <v>1152</v>
      </c>
      <c r="AM211" s="26"/>
      <c r="AN211" s="26"/>
      <c r="AP211" s="26">
        <f>I211*2</f>
        <v>1152</v>
      </c>
      <c r="AQ211" s="26"/>
      <c r="AR211" s="26"/>
      <c r="AS211" s="26"/>
      <c r="BJ211" s="4">
        <f>I211</f>
        <v>576</v>
      </c>
      <c r="BK211" s="4">
        <f>I211</f>
        <v>576</v>
      </c>
      <c r="BL211" s="4">
        <f>I211</f>
        <v>576</v>
      </c>
      <c r="BN211" s="191">
        <f>AI211+AJ211</f>
        <v>1152</v>
      </c>
      <c r="BO211" s="191">
        <f>取消单!BO234+BN211</f>
        <v>1152</v>
      </c>
      <c r="BP211" s="191"/>
      <c r="BQ211" s="191"/>
      <c r="BR211" s="191"/>
      <c r="BS211" s="191"/>
      <c r="BW211" s="191"/>
      <c r="BX211" s="191"/>
      <c r="BY211" s="191"/>
      <c r="BZ211" s="191"/>
      <c r="CA211" s="191"/>
      <c r="CB211" s="191"/>
    </row>
    <row r="212" s="4" customFormat="1" ht="26" customHeight="1" spans="1:97">
      <c r="A212" s="193">
        <v>45593</v>
      </c>
      <c r="B212" s="212"/>
      <c r="C212" s="227"/>
      <c r="D212" s="134" t="s">
        <v>3830</v>
      </c>
      <c r="E212" s="214"/>
      <c r="F212" s="134"/>
      <c r="G212" s="32" t="s">
        <v>3831</v>
      </c>
      <c r="H212" s="26" t="s">
        <v>3832</v>
      </c>
      <c r="I212" s="26">
        <v>3000</v>
      </c>
      <c r="J212" s="26">
        <v>0</v>
      </c>
      <c r="K212" s="26">
        <v>24</v>
      </c>
      <c r="L212" s="49">
        <f t="shared" si="130"/>
        <v>125</v>
      </c>
      <c r="M212" s="31">
        <v>45608</v>
      </c>
      <c r="N212" s="31" t="s">
        <v>3833</v>
      </c>
      <c r="O212" s="50"/>
      <c r="P212" s="50"/>
      <c r="Q212" s="26"/>
      <c r="R212" s="72" t="s">
        <v>57</v>
      </c>
      <c r="S212" s="72" t="s">
        <v>58</v>
      </c>
      <c r="T212" s="72" t="s">
        <v>58</v>
      </c>
      <c r="U212" s="265" t="s">
        <v>3834</v>
      </c>
      <c r="V212" s="253" t="s">
        <v>60</v>
      </c>
      <c r="W212" s="99"/>
      <c r="X212" s="71"/>
      <c r="Y212" s="26"/>
      <c r="Z212" s="36"/>
      <c r="AA212" s="32"/>
      <c r="AB212" s="38"/>
      <c r="AC212" s="26"/>
      <c r="AD212" s="26"/>
      <c r="AE212" s="26"/>
      <c r="AF212" s="26"/>
      <c r="AG212" s="26"/>
      <c r="AH212" s="26"/>
      <c r="AI212" s="4">
        <f>I212</f>
        <v>3000</v>
      </c>
      <c r="AS212" s="5"/>
      <c r="AT212" s="5"/>
      <c r="AU212" s="5"/>
      <c r="AV212" s="5"/>
      <c r="AW212" s="5"/>
      <c r="BM212" s="5"/>
      <c r="BN212" s="5"/>
      <c r="BO212" s="5"/>
      <c r="BX212" s="83" t="e">
        <f>$AI212*#REF!</f>
        <v>#REF!</v>
      </c>
      <c r="BY212" s="83" t="e">
        <f>$AI212*#REF!</f>
        <v>#REF!</v>
      </c>
      <c r="BZ212" s="83" t="e">
        <f>$AI212*#REF!</f>
        <v>#REF!</v>
      </c>
      <c r="CA212" s="83" t="e">
        <f>$AI212*#REF!</f>
        <v>#REF!</v>
      </c>
      <c r="CB212" s="83" t="e">
        <f>$AI212*#REF!</f>
        <v>#REF!</v>
      </c>
      <c r="CC212" s="83" t="e">
        <f>$AI212*#REF!</f>
        <v>#REF!</v>
      </c>
      <c r="CD212" s="83" t="e">
        <f>$AI212*#REF!</f>
        <v>#REF!</v>
      </c>
      <c r="CE212" s="83" t="e">
        <f>$AI212*#REF!</f>
        <v>#REF!</v>
      </c>
      <c r="CF212" s="83" t="e">
        <f>$AI212*#REF!</f>
        <v>#REF!</v>
      </c>
      <c r="CG212" s="83" t="e">
        <f>$AI212*#REF!</f>
        <v>#REF!</v>
      </c>
      <c r="CH212" s="83" t="e">
        <f>$AI212*#REF!</f>
        <v>#REF!</v>
      </c>
      <c r="CI212" s="83" t="e">
        <f>$AI212*#REF!</f>
        <v>#REF!</v>
      </c>
      <c r="CJ212" s="83" t="e">
        <f>$AI212*#REF!</f>
        <v>#REF!</v>
      </c>
      <c r="CK212" s="83" t="e">
        <f>$AI212*#REF!</f>
        <v>#REF!</v>
      </c>
      <c r="CL212" s="83" t="e">
        <f>$AI212*#REF!</f>
        <v>#REF!</v>
      </c>
      <c r="CM212" s="83" t="e">
        <f>$AI212*#REF!</f>
        <v>#REF!</v>
      </c>
      <c r="CN212" s="83" t="e">
        <f>$AI212*#REF!</f>
        <v>#REF!</v>
      </c>
      <c r="CO212" s="83" t="e">
        <f>$AI212*#REF!</f>
        <v>#REF!</v>
      </c>
      <c r="CP212" s="83" t="e">
        <f>$AI212*#REF!</f>
        <v>#REF!</v>
      </c>
      <c r="CQ212" s="83" t="e">
        <f>$AI212*#REF!</f>
        <v>#REF!</v>
      </c>
      <c r="CR212" s="83" t="e">
        <f>$AI212*#REF!</f>
        <v>#REF!</v>
      </c>
      <c r="CS212" s="83"/>
    </row>
    <row r="213" s="4" customFormat="1" ht="31" customHeight="1" spans="1:80">
      <c r="A213" s="193">
        <v>45589</v>
      </c>
      <c r="B213" s="212" t="s">
        <v>3473</v>
      </c>
      <c r="C213" s="228" t="s">
        <v>716</v>
      </c>
      <c r="D213" s="134">
        <v>4500148922</v>
      </c>
      <c r="E213" s="214" t="s">
        <v>3835</v>
      </c>
      <c r="F213" s="134" t="s">
        <v>3836</v>
      </c>
      <c r="G213" s="26" t="s">
        <v>1181</v>
      </c>
      <c r="H213" s="26" t="s">
        <v>1140</v>
      </c>
      <c r="I213" s="26">
        <v>598</v>
      </c>
      <c r="J213" s="26">
        <v>0</v>
      </c>
      <c r="K213" s="26">
        <v>13</v>
      </c>
      <c r="L213" s="49">
        <f t="shared" si="130"/>
        <v>46</v>
      </c>
      <c r="M213" s="31">
        <v>45625</v>
      </c>
      <c r="N213" s="31">
        <v>45621</v>
      </c>
      <c r="O213" s="136"/>
      <c r="P213" s="50"/>
      <c r="Q213" s="26"/>
      <c r="R213" s="72">
        <v>45595</v>
      </c>
      <c r="S213" s="26" t="s">
        <v>58</v>
      </c>
      <c r="T213" s="72">
        <v>45593</v>
      </c>
      <c r="U213" s="21" t="s">
        <v>3837</v>
      </c>
      <c r="V213" s="259" t="s">
        <v>1775</v>
      </c>
      <c r="W213" s="175">
        <v>1.9068</v>
      </c>
      <c r="X213" s="68">
        <f>I213*W213</f>
        <v>1140.2664</v>
      </c>
      <c r="Y213" s="26"/>
      <c r="Z213" s="26" t="s">
        <v>3838</v>
      </c>
      <c r="AA213" s="26" t="s">
        <v>53</v>
      </c>
      <c r="AB213" s="176" t="s">
        <v>54</v>
      </c>
      <c r="AC213" s="26"/>
      <c r="AD213" s="36"/>
      <c r="AE213" s="36">
        <f>AD213-I213</f>
        <v>-598</v>
      </c>
      <c r="AF213" s="185"/>
      <c r="AG213" s="26" t="s">
        <v>55</v>
      </c>
      <c r="AH213" s="26"/>
      <c r="AI213" s="26"/>
      <c r="AJ213" s="26">
        <f>I213</f>
        <v>598</v>
      </c>
      <c r="AK213" s="26"/>
      <c r="AM213" s="26">
        <f>I213</f>
        <v>598</v>
      </c>
      <c r="AN213" s="26"/>
      <c r="AP213" s="26">
        <f>I213</f>
        <v>598</v>
      </c>
      <c r="AQ213" s="26"/>
      <c r="AR213" s="26"/>
      <c r="AS213" s="26"/>
      <c r="AZ213" s="4">
        <f>I213/13</f>
        <v>46</v>
      </c>
      <c r="BN213" s="191">
        <f t="shared" ref="BN213:BN215" si="152">AI213+AJ213</f>
        <v>598</v>
      </c>
      <c r="BO213" s="289" t="e">
        <f>'77485 S3 明细'!#REF!+BN213</f>
        <v>#REF!</v>
      </c>
      <c r="BP213" s="191"/>
      <c r="BQ213" s="191"/>
      <c r="BR213" s="191"/>
      <c r="BS213" s="191"/>
      <c r="BT213" s="7" t="e">
        <f>SUM('77485 S3 明细'!BV$1:BZ$1)-BO213</f>
        <v>#REF!</v>
      </c>
      <c r="BV213" s="7">
        <f t="shared" ref="BV213:BV215" si="153">AT213+AU213+BA213+BB213</f>
        <v>0</v>
      </c>
      <c r="BW213" s="289" t="e">
        <f>'77485 S3 明细'!#REF!+BV213</f>
        <v>#REF!</v>
      </c>
      <c r="BX213" s="191"/>
      <c r="BY213" s="191"/>
      <c r="BZ213" s="191"/>
      <c r="CA213" s="289" t="e">
        <f>'77485 S3 明细'!$CD$1+'77485 S3 明细'!$CE$1+'77485 S3 明细'!$CF$1+'77485 S3 明细'!$CG$1-BW213</f>
        <v>#REF!</v>
      </c>
      <c r="CB213" s="191"/>
    </row>
    <row r="214" s="4" customFormat="1" ht="31" customHeight="1" spans="1:80">
      <c r="A214" s="215">
        <v>45600</v>
      </c>
      <c r="B214" s="216" t="s">
        <v>1354</v>
      </c>
      <c r="C214" s="198" t="s">
        <v>84</v>
      </c>
      <c r="D214" s="217">
        <v>4500148503</v>
      </c>
      <c r="E214" s="216" t="s">
        <v>3822</v>
      </c>
      <c r="F214" s="217" t="s">
        <v>3839</v>
      </c>
      <c r="G214" s="26" t="s">
        <v>1147</v>
      </c>
      <c r="H214" s="26" t="s">
        <v>1148</v>
      </c>
      <c r="I214" s="26">
        <v>768</v>
      </c>
      <c r="J214" s="26">
        <v>0</v>
      </c>
      <c r="K214" s="26">
        <v>12</v>
      </c>
      <c r="L214" s="49">
        <f t="shared" si="130"/>
        <v>64</v>
      </c>
      <c r="M214" s="31">
        <v>45644</v>
      </c>
      <c r="N214" s="31">
        <v>45640</v>
      </c>
      <c r="O214" s="136"/>
      <c r="P214" s="50"/>
      <c r="Q214" s="26"/>
      <c r="R214" s="72">
        <v>45587</v>
      </c>
      <c r="S214" s="26" t="s">
        <v>48</v>
      </c>
      <c r="T214" s="72" t="s">
        <v>49</v>
      </c>
      <c r="U214" s="25" t="s">
        <v>3826</v>
      </c>
      <c r="V214" s="31" t="s">
        <v>721</v>
      </c>
      <c r="W214" s="25">
        <v>4.1259</v>
      </c>
      <c r="X214" s="68">
        <f t="shared" ref="X214:X221" si="154">I214*W214</f>
        <v>3168.6912</v>
      </c>
      <c r="Y214" s="26"/>
      <c r="Z214" s="26" t="s">
        <v>1147</v>
      </c>
      <c r="AA214" s="26" t="s">
        <v>53</v>
      </c>
      <c r="AB214" s="176" t="s">
        <v>54</v>
      </c>
      <c r="AC214" s="26"/>
      <c r="AD214" s="36"/>
      <c r="AE214" s="36"/>
      <c r="AF214" s="185"/>
      <c r="AG214" s="26" t="s">
        <v>55</v>
      </c>
      <c r="AH214" s="26"/>
      <c r="AI214" s="26">
        <f>I214*2</f>
        <v>1536</v>
      </c>
      <c r="AJ214" s="26"/>
      <c r="AK214" s="26">
        <f t="shared" si="151"/>
        <v>1536</v>
      </c>
      <c r="AM214" s="26"/>
      <c r="AN214" s="26"/>
      <c r="AP214" s="26">
        <f>I214*2</f>
        <v>1536</v>
      </c>
      <c r="AQ214" s="26"/>
      <c r="AR214" s="26"/>
      <c r="AS214" s="26"/>
      <c r="BJ214" s="4">
        <f>I214</f>
        <v>768</v>
      </c>
      <c r="BK214" s="4">
        <f>I214</f>
        <v>768</v>
      </c>
      <c r="BL214" s="4">
        <f>I214</f>
        <v>768</v>
      </c>
      <c r="BN214" s="191">
        <f t="shared" si="152"/>
        <v>1536</v>
      </c>
      <c r="BO214" s="289" t="e">
        <f>'77485 S3 明细'!#REF!+BN214</f>
        <v>#REF!</v>
      </c>
      <c r="BP214" s="191"/>
      <c r="BQ214" s="191"/>
      <c r="BR214" s="191"/>
      <c r="BS214" s="191"/>
      <c r="BT214" s="7" t="e">
        <f>SUM('77485 S3 明细'!BV$1:BZ$1)-BO214</f>
        <v>#REF!</v>
      </c>
      <c r="BV214" s="7">
        <f t="shared" si="153"/>
        <v>0</v>
      </c>
      <c r="BW214" s="289" t="e">
        <f>'77485 S3 明细'!#REF!+BV214</f>
        <v>#REF!</v>
      </c>
      <c r="BX214" s="191"/>
      <c r="BY214" s="191"/>
      <c r="BZ214" s="191"/>
      <c r="CA214" s="289" t="e">
        <f>'77485 S3 明细'!$CD$1+'77485 S3 明细'!$CE$1+'77485 S3 明细'!$CF$1+'77485 S3 明细'!$CG$1-BW214</f>
        <v>#REF!</v>
      </c>
      <c r="CB214" s="191"/>
    </row>
    <row r="215" s="4" customFormat="1" ht="31" customHeight="1" spans="1:80">
      <c r="A215" s="215">
        <v>45600</v>
      </c>
      <c r="B215" s="216" t="s">
        <v>1354</v>
      </c>
      <c r="C215" s="198" t="s">
        <v>84</v>
      </c>
      <c r="D215" s="217">
        <v>4500148503</v>
      </c>
      <c r="E215" s="216" t="s">
        <v>3828</v>
      </c>
      <c r="F215" s="217" t="s">
        <v>3840</v>
      </c>
      <c r="G215" s="26" t="s">
        <v>1147</v>
      </c>
      <c r="H215" s="26" t="s">
        <v>1148</v>
      </c>
      <c r="I215" s="26">
        <v>576</v>
      </c>
      <c r="J215" s="26">
        <v>0</v>
      </c>
      <c r="K215" s="26">
        <v>12</v>
      </c>
      <c r="L215" s="49">
        <f t="shared" si="130"/>
        <v>48</v>
      </c>
      <c r="M215" s="31">
        <v>45644</v>
      </c>
      <c r="N215" s="31">
        <v>45640</v>
      </c>
      <c r="O215" s="136"/>
      <c r="P215" s="50"/>
      <c r="Q215" s="26"/>
      <c r="R215" s="72">
        <v>45587</v>
      </c>
      <c r="S215" s="26" t="s">
        <v>48</v>
      </c>
      <c r="T215" s="72" t="s">
        <v>49</v>
      </c>
      <c r="U215" s="25" t="s">
        <v>3826</v>
      </c>
      <c r="V215" s="31" t="s">
        <v>721</v>
      </c>
      <c r="W215" s="25">
        <v>4.1259</v>
      </c>
      <c r="X215" s="68">
        <f t="shared" si="154"/>
        <v>2376.5184</v>
      </c>
      <c r="Y215" s="26"/>
      <c r="Z215" s="26" t="s">
        <v>1147</v>
      </c>
      <c r="AA215" s="26" t="s">
        <v>53</v>
      </c>
      <c r="AB215" s="176" t="s">
        <v>54</v>
      </c>
      <c r="AC215" s="26"/>
      <c r="AD215" s="36"/>
      <c r="AE215" s="36"/>
      <c r="AF215" s="185"/>
      <c r="AG215" s="26" t="s">
        <v>55</v>
      </c>
      <c r="AH215" s="26"/>
      <c r="AI215" s="26">
        <f>I215*2</f>
        <v>1152</v>
      </c>
      <c r="AJ215" s="26"/>
      <c r="AK215" s="26">
        <f t="shared" si="151"/>
        <v>1152</v>
      </c>
      <c r="AM215" s="26"/>
      <c r="AN215" s="26"/>
      <c r="AP215" s="26">
        <f>I215*2</f>
        <v>1152</v>
      </c>
      <c r="AQ215" s="26"/>
      <c r="AR215" s="26"/>
      <c r="AS215" s="26"/>
      <c r="BJ215" s="4">
        <f>I215</f>
        <v>576</v>
      </c>
      <c r="BK215" s="4">
        <f>I215</f>
        <v>576</v>
      </c>
      <c r="BL215" s="4">
        <f>I215</f>
        <v>576</v>
      </c>
      <c r="BN215" s="191">
        <f t="shared" si="152"/>
        <v>1152</v>
      </c>
      <c r="BO215" s="289" t="e">
        <f>BO214+BN215</f>
        <v>#REF!</v>
      </c>
      <c r="BP215" s="191"/>
      <c r="BQ215" s="191"/>
      <c r="BR215" s="191"/>
      <c r="BS215" s="191"/>
      <c r="BT215" s="7" t="e">
        <f>SUM('77485 S3 明细'!BV$1:BZ$1)-BO215</f>
        <v>#REF!</v>
      </c>
      <c r="BV215" s="7">
        <f t="shared" si="153"/>
        <v>0</v>
      </c>
      <c r="BW215" s="289" t="e">
        <f>BW214+BV215</f>
        <v>#REF!</v>
      </c>
      <c r="BX215" s="191"/>
      <c r="BY215" s="191"/>
      <c r="BZ215" s="191"/>
      <c r="CA215" s="289" t="e">
        <f>'77485 S3 明细'!$CD$1+'77485 S3 明细'!$CE$1+'77485 S3 明细'!$CF$1+'77485 S3 明细'!$CG$1-BW215</f>
        <v>#REF!</v>
      </c>
      <c r="CB215" s="191"/>
    </row>
    <row r="216" s="4" customFormat="1" ht="31" customHeight="1" spans="1:81">
      <c r="A216" s="215">
        <v>45623</v>
      </c>
      <c r="B216" s="216" t="s">
        <v>1136</v>
      </c>
      <c r="C216" s="198" t="s">
        <v>63</v>
      </c>
      <c r="D216" s="217">
        <v>4500152538</v>
      </c>
      <c r="E216" s="216" t="s">
        <v>3841</v>
      </c>
      <c r="F216" s="217" t="s">
        <v>3842</v>
      </c>
      <c r="G216" s="26" t="s">
        <v>1139</v>
      </c>
      <c r="H216" s="26" t="s">
        <v>1140</v>
      </c>
      <c r="I216" s="26">
        <v>3120</v>
      </c>
      <c r="J216" s="26">
        <v>0</v>
      </c>
      <c r="K216" s="26">
        <v>52</v>
      </c>
      <c r="L216" s="49">
        <f t="shared" si="130"/>
        <v>60</v>
      </c>
      <c r="M216" s="31">
        <v>45696</v>
      </c>
      <c r="N216" s="31">
        <v>45692</v>
      </c>
      <c r="O216" s="136"/>
      <c r="P216" s="50"/>
      <c r="Q216" s="26"/>
      <c r="R216" s="72">
        <v>45624</v>
      </c>
      <c r="S216" s="26" t="s">
        <v>58</v>
      </c>
      <c r="T216" s="26" t="s">
        <v>1303</v>
      </c>
      <c r="U216" s="264" t="s">
        <v>1304</v>
      </c>
      <c r="V216" s="31" t="s">
        <v>1305</v>
      </c>
      <c r="W216" s="175">
        <v>1.8967</v>
      </c>
      <c r="X216" s="68">
        <f t="shared" si="154"/>
        <v>5917.704</v>
      </c>
      <c r="Y216" s="26"/>
      <c r="Z216" s="26" t="s">
        <v>1139</v>
      </c>
      <c r="AA216" s="26" t="s">
        <v>53</v>
      </c>
      <c r="AB216" s="38"/>
      <c r="AC216" s="26"/>
      <c r="AD216" s="36"/>
      <c r="AE216" s="36"/>
      <c r="AF216" s="185"/>
      <c r="AG216" s="38"/>
      <c r="AH216" s="26"/>
      <c r="AI216" s="26">
        <f t="shared" ref="AI216:AI220" si="155">I216</f>
        <v>3120</v>
      </c>
      <c r="AJ216" s="26"/>
      <c r="AK216" s="26">
        <f>I216</f>
        <v>3120</v>
      </c>
      <c r="AM216" s="26"/>
      <c r="AN216" s="26"/>
      <c r="AP216" s="26">
        <f t="shared" ref="AP216:AP220" si="156">I216</f>
        <v>3120</v>
      </c>
      <c r="AQ216" s="26"/>
      <c r="AR216" s="26"/>
      <c r="AS216" s="26"/>
      <c r="AZ216" s="4">
        <f>I216/13</f>
        <v>240</v>
      </c>
      <c r="BO216" s="191">
        <f>AI216+AJ216</f>
        <v>3120</v>
      </c>
      <c r="BP216" s="191" t="e">
        <f>#REF!+BO216</f>
        <v>#REF!</v>
      </c>
      <c r="BQ216" s="191"/>
      <c r="BR216" s="191"/>
      <c r="BS216" s="191"/>
      <c r="BT216" s="191"/>
      <c r="BU216" s="4" t="e">
        <f>SUM(BR$1:BV$1)-BP216</f>
        <v>#REF!</v>
      </c>
      <c r="BW216" s="4">
        <f>AT216+AU216+BB216+BC216</f>
        <v>0</v>
      </c>
      <c r="BX216" s="191" t="e">
        <f>#REF!+BW216</f>
        <v>#REF!</v>
      </c>
      <c r="BY216" s="191"/>
      <c r="BZ216" s="191"/>
      <c r="CA216" s="191"/>
      <c r="CB216" s="191" t="e">
        <f>$BZ$1+$CA$1+$CB$1+$CC$1-BX216</f>
        <v>#REF!</v>
      </c>
      <c r="CC216" s="191"/>
    </row>
    <row r="217" s="4" customFormat="1" ht="31" customHeight="1" spans="1:38">
      <c r="A217" s="197">
        <v>45694</v>
      </c>
      <c r="B217" s="65" t="s">
        <v>3843</v>
      </c>
      <c r="C217" s="133" t="s">
        <v>84</v>
      </c>
      <c r="D217" s="134">
        <v>4500156785</v>
      </c>
      <c r="E217" s="135" t="s">
        <v>3844</v>
      </c>
      <c r="F217" s="134" t="s">
        <v>3845</v>
      </c>
      <c r="G217" s="222" t="s">
        <v>44</v>
      </c>
      <c r="H217" s="22" t="s">
        <v>45</v>
      </c>
      <c r="I217" s="22">
        <v>408</v>
      </c>
      <c r="J217" s="22">
        <v>0</v>
      </c>
      <c r="K217" s="22">
        <v>4</v>
      </c>
      <c r="L217" s="47">
        <f t="shared" si="130"/>
        <v>102</v>
      </c>
      <c r="M217" s="197">
        <v>45744</v>
      </c>
      <c r="N217" s="31" t="s">
        <v>3846</v>
      </c>
      <c r="O217" s="50"/>
      <c r="P217" s="48"/>
      <c r="Q217" s="26"/>
      <c r="R217" s="61"/>
      <c r="S217" s="61"/>
      <c r="T217" s="61"/>
      <c r="U217" s="21" t="s">
        <v>3847</v>
      </c>
      <c r="V217" s="264" t="s">
        <v>3848</v>
      </c>
      <c r="W217" s="261">
        <v>8.2879</v>
      </c>
      <c r="X217" s="64">
        <f>W217*I217</f>
        <v>3381.4632</v>
      </c>
      <c r="Y217" s="26"/>
      <c r="Z217" s="222"/>
      <c r="AA217" s="26"/>
      <c r="AB217" s="38"/>
      <c r="AC217" s="52"/>
      <c r="AD217" s="50"/>
      <c r="AE217" s="36"/>
      <c r="AF217" s="278"/>
      <c r="AG217" s="26"/>
      <c r="AH217" s="3">
        <f>I217</f>
        <v>408</v>
      </c>
      <c r="AI217" s="3"/>
      <c r="AK217" s="3"/>
      <c r="AL217" s="3"/>
    </row>
    <row r="218" s="4" customFormat="1" ht="31" customHeight="1" spans="1:38">
      <c r="A218" s="197">
        <v>45694</v>
      </c>
      <c r="B218" s="65" t="s">
        <v>3843</v>
      </c>
      <c r="C218" s="133" t="s">
        <v>84</v>
      </c>
      <c r="D218" s="134">
        <v>4500156785</v>
      </c>
      <c r="E218" s="135" t="s">
        <v>3849</v>
      </c>
      <c r="F218" s="134" t="s">
        <v>3850</v>
      </c>
      <c r="G218" s="222" t="s">
        <v>44</v>
      </c>
      <c r="H218" s="22" t="s">
        <v>45</v>
      </c>
      <c r="I218" s="22">
        <v>192</v>
      </c>
      <c r="J218" s="22">
        <v>0</v>
      </c>
      <c r="K218" s="22">
        <v>4</v>
      </c>
      <c r="L218" s="47">
        <f t="shared" si="130"/>
        <v>48</v>
      </c>
      <c r="M218" s="197">
        <v>45744</v>
      </c>
      <c r="N218" s="31" t="s">
        <v>3846</v>
      </c>
      <c r="O218" s="50"/>
      <c r="P218" s="48"/>
      <c r="Q218" s="26"/>
      <c r="R218" s="61"/>
      <c r="S218" s="61"/>
      <c r="T218" s="61"/>
      <c r="U218" s="21" t="s">
        <v>3847</v>
      </c>
      <c r="V218" s="264" t="s">
        <v>3848</v>
      </c>
      <c r="W218" s="261">
        <v>8.2879</v>
      </c>
      <c r="X218" s="64">
        <f>W218*I218</f>
        <v>1591.2768</v>
      </c>
      <c r="Y218" s="26"/>
      <c r="Z218" s="222"/>
      <c r="AA218" s="26"/>
      <c r="AB218" s="38"/>
      <c r="AC218" s="52"/>
      <c r="AD218" s="50"/>
      <c r="AE218" s="36"/>
      <c r="AF218" s="278"/>
      <c r="AG218" s="26"/>
      <c r="AH218" s="3">
        <f>I218</f>
        <v>192</v>
      </c>
      <c r="AI218" s="3"/>
      <c r="AK218" s="3"/>
      <c r="AL218" s="3"/>
    </row>
    <row r="219" s="3" customFormat="1" ht="31" customHeight="1" spans="1:81">
      <c r="A219" s="215">
        <v>45650</v>
      </c>
      <c r="B219" s="65" t="s">
        <v>3851</v>
      </c>
      <c r="C219" s="229" t="s">
        <v>149</v>
      </c>
      <c r="D219" s="230">
        <v>4500154618</v>
      </c>
      <c r="E219" s="133">
        <v>2385723</v>
      </c>
      <c r="F219" s="230" t="s">
        <v>3852</v>
      </c>
      <c r="G219" s="222" t="s">
        <v>1181</v>
      </c>
      <c r="H219" s="26" t="s">
        <v>1140</v>
      </c>
      <c r="I219" s="26">
        <v>1508</v>
      </c>
      <c r="J219" s="26">
        <v>0</v>
      </c>
      <c r="K219" s="26">
        <v>13</v>
      </c>
      <c r="L219" s="49">
        <f t="shared" si="130"/>
        <v>116</v>
      </c>
      <c r="M219" s="23">
        <v>45712</v>
      </c>
      <c r="N219" s="246" t="s">
        <v>3853</v>
      </c>
      <c r="O219" s="48"/>
      <c r="P219" s="48"/>
      <c r="Q219" s="22"/>
      <c r="R219" s="266">
        <v>45650</v>
      </c>
      <c r="S219" s="61" t="s">
        <v>48</v>
      </c>
      <c r="T219" s="266" t="s">
        <v>49</v>
      </c>
      <c r="U219" s="264" t="s">
        <v>3854</v>
      </c>
      <c r="V219" s="23" t="s">
        <v>503</v>
      </c>
      <c r="W219" s="25">
        <v>1.9425</v>
      </c>
      <c r="X219" s="68">
        <f t="shared" si="154"/>
        <v>2929.29</v>
      </c>
      <c r="Y219" s="22"/>
      <c r="Z219" s="26" t="s">
        <v>1181</v>
      </c>
      <c r="AA219" s="22" t="s">
        <v>53</v>
      </c>
      <c r="AB219" s="38" t="s">
        <v>54</v>
      </c>
      <c r="AC219" s="22"/>
      <c r="AD219" s="36"/>
      <c r="AE219" s="36">
        <f t="shared" ref="AE219:AE229" si="157">AD219-I219</f>
        <v>-1508</v>
      </c>
      <c r="AF219" s="185"/>
      <c r="AG219" s="22"/>
      <c r="AH219" s="22"/>
      <c r="AI219" s="26">
        <f t="shared" si="155"/>
        <v>1508</v>
      </c>
      <c r="AK219" s="26">
        <f>I219</f>
        <v>1508</v>
      </c>
      <c r="AP219" s="26">
        <f t="shared" si="156"/>
        <v>1508</v>
      </c>
      <c r="AZ219" s="4">
        <f>I219/13</f>
        <v>116</v>
      </c>
      <c r="BO219" s="191">
        <f>AI219+AJ219</f>
        <v>1508</v>
      </c>
      <c r="BP219" s="191">
        <f>'77485 S3 明细'!BT59+BO219</f>
        <v>2363812</v>
      </c>
      <c r="BQ219" s="191"/>
      <c r="BR219" s="191"/>
      <c r="BS219" s="191"/>
      <c r="BT219" s="191"/>
      <c r="BU219" s="4">
        <f>SUM('77485 S3 明细'!BV$1:BZ$1)-BP219</f>
        <v>456188</v>
      </c>
      <c r="BV219" s="4"/>
      <c r="BW219" s="4">
        <f>AT219+AU219+BB219+BC219</f>
        <v>0</v>
      </c>
      <c r="BX219" s="191">
        <f>'77485 S3 明细'!CB59+BW219</f>
        <v>48086.5714285714</v>
      </c>
      <c r="BY219" s="191"/>
      <c r="BZ219" s="191"/>
      <c r="CA219" s="191"/>
      <c r="CB219" s="191"/>
      <c r="CC219" s="294"/>
    </row>
    <row r="220" s="4" customFormat="1" ht="31" customHeight="1" spans="1:83">
      <c r="A220" s="215">
        <v>45808</v>
      </c>
      <c r="B220" s="216" t="s">
        <v>1627</v>
      </c>
      <c r="C220" s="198" t="s">
        <v>934</v>
      </c>
      <c r="D220" s="217">
        <v>4500168594</v>
      </c>
      <c r="E220" s="216"/>
      <c r="F220" s="217" t="s">
        <v>3855</v>
      </c>
      <c r="G220" s="26" t="s">
        <v>1155</v>
      </c>
      <c r="H220" s="26" t="s">
        <v>1140</v>
      </c>
      <c r="I220" s="26">
        <v>200</v>
      </c>
      <c r="J220" s="26">
        <v>0</v>
      </c>
      <c r="K220" s="26">
        <v>50</v>
      </c>
      <c r="L220" s="49">
        <f t="shared" si="130"/>
        <v>4</v>
      </c>
      <c r="M220" s="31">
        <v>45840</v>
      </c>
      <c r="N220" s="31">
        <f>M220-4</f>
        <v>45836</v>
      </c>
      <c r="O220" s="136"/>
      <c r="P220" s="50" t="s">
        <v>46</v>
      </c>
      <c r="Q220" s="26">
        <v>4500173135</v>
      </c>
      <c r="R220" s="72">
        <v>45814</v>
      </c>
      <c r="S220" s="26" t="s">
        <v>58</v>
      </c>
      <c r="T220" s="266">
        <v>45813</v>
      </c>
      <c r="U220" s="264" t="s">
        <v>1629</v>
      </c>
      <c r="V220" s="31" t="s">
        <v>938</v>
      </c>
      <c r="W220" s="175">
        <v>1.9605</v>
      </c>
      <c r="X220" s="68">
        <f t="shared" si="154"/>
        <v>392.1</v>
      </c>
      <c r="Y220" s="26"/>
      <c r="Z220" s="26" t="s">
        <v>1160</v>
      </c>
      <c r="AA220" s="26" t="s">
        <v>53</v>
      </c>
      <c r="AB220" s="38" t="s">
        <v>54</v>
      </c>
      <c r="AC220" s="26"/>
      <c r="AD220" s="36">
        <v>200</v>
      </c>
      <c r="AE220" s="36">
        <f t="shared" si="157"/>
        <v>0</v>
      </c>
      <c r="AF220" s="185"/>
      <c r="AG220" s="26" t="s">
        <v>55</v>
      </c>
      <c r="AH220" s="26"/>
      <c r="AI220" s="26">
        <f t="shared" si="155"/>
        <v>200</v>
      </c>
      <c r="AJ220" s="26"/>
      <c r="AK220" s="26"/>
      <c r="AM220" s="26">
        <f t="shared" ref="AM220:AM229" si="158">I220</f>
        <v>200</v>
      </c>
      <c r="AN220" s="26"/>
      <c r="AP220" s="26">
        <f t="shared" si="156"/>
        <v>200</v>
      </c>
      <c r="AQ220" s="26"/>
      <c r="AR220" s="26"/>
      <c r="AS220" s="26"/>
      <c r="BC220" s="4">
        <f>I220/25</f>
        <v>8</v>
      </c>
      <c r="BQ220" s="191">
        <f>AI220+AJ220</f>
        <v>200</v>
      </c>
      <c r="BR220" s="191">
        <f>'77485 S3 明细'!BT125+BQ220</f>
        <v>2461294</v>
      </c>
      <c r="BS220" s="191"/>
      <c r="BT220" s="191"/>
      <c r="BU220" s="191"/>
      <c r="BV220" s="191"/>
      <c r="BY220" s="4">
        <f>AT220+AU220+BB220+BC220</f>
        <v>8</v>
      </c>
      <c r="BZ220" s="191">
        <f>'77485 S3 明细'!CB107+BY220</f>
        <v>49638.5714285714</v>
      </c>
      <c r="CA220" s="191"/>
      <c r="CB220" s="191"/>
      <c r="CC220" s="191"/>
      <c r="CD220" s="191">
        <f>'77485 S3 明细'!$CD$1+'77485 S3 明细'!$CE$1+'77485 S3 明细'!$CF$1+'77485 S3 明细'!$CG$1-BZ220</f>
        <v>10361.4285714286</v>
      </c>
      <c r="CE220" s="191"/>
    </row>
    <row r="221" s="11" customFormat="1" ht="32" customHeight="1" spans="1:85">
      <c r="A221" s="231">
        <v>45888</v>
      </c>
      <c r="B221" s="232" t="s">
        <v>83</v>
      </c>
      <c r="C221" s="233" t="s">
        <v>84</v>
      </c>
      <c r="D221" s="234">
        <v>4500177327</v>
      </c>
      <c r="E221" s="232" t="s">
        <v>3856</v>
      </c>
      <c r="F221" s="235" t="s">
        <v>3857</v>
      </c>
      <c r="G221" s="236" t="s">
        <v>1010</v>
      </c>
      <c r="H221" s="237" t="s">
        <v>376</v>
      </c>
      <c r="I221" s="236">
        <v>1500</v>
      </c>
      <c r="J221" s="236">
        <v>0</v>
      </c>
      <c r="K221" s="236">
        <v>12</v>
      </c>
      <c r="L221" s="247">
        <f t="shared" si="130"/>
        <v>125</v>
      </c>
      <c r="M221" s="248">
        <v>45947</v>
      </c>
      <c r="N221" s="248">
        <v>45945</v>
      </c>
      <c r="O221" s="249"/>
      <c r="P221" s="250"/>
      <c r="Q221" s="236"/>
      <c r="R221" s="267">
        <v>45888</v>
      </c>
      <c r="S221" s="267" t="s">
        <v>58</v>
      </c>
      <c r="T221" s="267">
        <v>45912</v>
      </c>
      <c r="U221" s="241" t="s">
        <v>3858</v>
      </c>
      <c r="V221" s="248" t="s">
        <v>89</v>
      </c>
      <c r="W221" s="268">
        <v>3.096</v>
      </c>
      <c r="X221" s="269">
        <f t="shared" si="154"/>
        <v>4644</v>
      </c>
      <c r="Y221" s="236"/>
      <c r="Z221" s="237" t="s">
        <v>1010</v>
      </c>
      <c r="AA221" s="236" t="s">
        <v>53</v>
      </c>
      <c r="AB221" s="279"/>
      <c r="AC221" s="236"/>
      <c r="AD221" s="236"/>
      <c r="AE221" s="280">
        <f t="shared" si="157"/>
        <v>-1500</v>
      </c>
      <c r="AF221" s="281"/>
      <c r="AG221" s="236" t="s">
        <v>55</v>
      </c>
      <c r="AH221" s="236"/>
      <c r="AI221" s="236">
        <f>I221*2</f>
        <v>3000</v>
      </c>
      <c r="AJ221" s="236">
        <f>I221*2</f>
        <v>3000</v>
      </c>
      <c r="AK221" s="283"/>
      <c r="AN221" s="236">
        <f>I221*2</f>
        <v>3000</v>
      </c>
      <c r="AO221" s="236"/>
      <c r="AR221" s="236"/>
      <c r="AS221" s="236"/>
      <c r="AT221" s="236"/>
      <c r="AU221" s="236"/>
      <c r="BD221" s="283"/>
      <c r="BF221" s="11">
        <f>I221</f>
        <v>1500</v>
      </c>
      <c r="BG221" s="11">
        <f>I221</f>
        <v>1500</v>
      </c>
      <c r="BH221" s="11">
        <f>I221</f>
        <v>1500</v>
      </c>
      <c r="BS221" s="288"/>
      <c r="BT221" s="288"/>
      <c r="BU221" s="288"/>
      <c r="BV221" s="288"/>
      <c r="BW221" s="288"/>
      <c r="BX221" s="288"/>
      <c r="CB221" s="288"/>
      <c r="CC221" s="288"/>
      <c r="CD221" s="288"/>
      <c r="CE221" s="288"/>
      <c r="CF221" s="288"/>
      <c r="CG221" s="288"/>
    </row>
    <row r="222" s="11" customFormat="1" ht="31" customHeight="1" spans="1:102">
      <c r="A222" s="238">
        <v>45925</v>
      </c>
      <c r="B222" s="239" t="s">
        <v>387</v>
      </c>
      <c r="C222" s="233" t="s">
        <v>84</v>
      </c>
      <c r="D222" s="239" t="s">
        <v>3859</v>
      </c>
      <c r="E222" s="236" t="s">
        <v>3860</v>
      </c>
      <c r="F222" s="239"/>
      <c r="G222" s="237" t="s">
        <v>390</v>
      </c>
      <c r="H222" s="233"/>
      <c r="I222" s="233">
        <v>0</v>
      </c>
      <c r="J222" s="233">
        <v>0</v>
      </c>
      <c r="K222" s="233">
        <v>30</v>
      </c>
      <c r="L222" s="251">
        <f t="shared" si="130"/>
        <v>0</v>
      </c>
      <c r="M222" s="248">
        <v>45965</v>
      </c>
      <c r="N222" s="248">
        <f>M222-4</f>
        <v>45961</v>
      </c>
      <c r="O222" s="249" t="s">
        <v>3861</v>
      </c>
      <c r="P222" s="252"/>
      <c r="Q222" s="236"/>
      <c r="R222" s="270"/>
      <c r="S222" s="270"/>
      <c r="T222" s="270"/>
      <c r="U222" s="241" t="s">
        <v>3862</v>
      </c>
      <c r="V222" s="271" t="s">
        <v>395</v>
      </c>
      <c r="W222" s="272"/>
      <c r="X222" s="273"/>
      <c r="Y222" s="236"/>
      <c r="Z222" s="237"/>
      <c r="AA222" s="233"/>
      <c r="AB222" s="233"/>
      <c r="AC222" s="236"/>
      <c r="AD222" s="280"/>
      <c r="AE222" s="280">
        <f t="shared" si="157"/>
        <v>0</v>
      </c>
      <c r="AF222" s="282"/>
      <c r="AG222" s="236"/>
      <c r="AH222" s="236"/>
      <c r="AI222" s="236">
        <f t="shared" ref="AI222:AI229" si="159">I222</f>
        <v>0</v>
      </c>
      <c r="AJ222" s="283">
        <f t="shared" ref="AJ222:AJ229" si="160">I222</f>
        <v>0</v>
      </c>
      <c r="AL222" s="283"/>
      <c r="AM222" s="283"/>
      <c r="AN222" s="11">
        <f>I222</f>
        <v>0</v>
      </c>
      <c r="AP222" s="286"/>
      <c r="BC222" s="240"/>
      <c r="BD222" s="240"/>
      <c r="BE222" s="240"/>
      <c r="BJ222" s="288"/>
      <c r="BK222" s="288"/>
      <c r="BL222" s="288"/>
      <c r="BM222" s="288"/>
      <c r="BN222" s="288"/>
      <c r="BO222" s="288"/>
      <c r="BS222" s="288"/>
      <c r="BT222" s="288"/>
      <c r="BU222" s="293"/>
      <c r="BV222" s="288"/>
      <c r="BW222" s="288"/>
      <c r="BX222" s="288"/>
      <c r="CC222" s="286"/>
      <c r="CD222" s="286"/>
      <c r="CE222" s="286"/>
      <c r="CF222" s="286"/>
      <c r="CG222" s="286"/>
      <c r="CH222" s="286"/>
      <c r="CI222" s="286"/>
      <c r="CJ222" s="286"/>
      <c r="CK222" s="286"/>
      <c r="CL222" s="286"/>
      <c r="CM222" s="286"/>
      <c r="CN222" s="286"/>
      <c r="CO222" s="286"/>
      <c r="CP222" s="286"/>
      <c r="CQ222" s="286"/>
      <c r="CR222" s="286"/>
      <c r="CS222" s="286"/>
      <c r="CT222" s="286"/>
      <c r="CU222" s="286"/>
      <c r="CV222" s="286"/>
      <c r="CW222" s="286"/>
      <c r="CX222" s="286"/>
    </row>
    <row r="223" s="11" customFormat="1" ht="31" customHeight="1" spans="1:103">
      <c r="A223" s="238">
        <v>45965</v>
      </c>
      <c r="B223" s="239" t="s">
        <v>764</v>
      </c>
      <c r="C223" s="240" t="s">
        <v>1485</v>
      </c>
      <c r="D223" s="239">
        <v>4500184399</v>
      </c>
      <c r="E223" s="236"/>
      <c r="F223" s="239" t="s">
        <v>3863</v>
      </c>
      <c r="G223" s="237" t="s">
        <v>136</v>
      </c>
      <c r="H223" s="233" t="s">
        <v>137</v>
      </c>
      <c r="I223" s="233">
        <v>300</v>
      </c>
      <c r="J223" s="233">
        <v>0</v>
      </c>
      <c r="K223" s="233">
        <v>50</v>
      </c>
      <c r="L223" s="251">
        <f t="shared" si="130"/>
        <v>6</v>
      </c>
      <c r="M223" s="248">
        <v>46009</v>
      </c>
      <c r="N223" s="248">
        <v>46006</v>
      </c>
      <c r="O223" s="236"/>
      <c r="P223" s="252"/>
      <c r="Q223" s="236"/>
      <c r="R223" s="270" t="s">
        <v>49</v>
      </c>
      <c r="S223" s="270" t="s">
        <v>58</v>
      </c>
      <c r="T223" s="270" t="s">
        <v>761</v>
      </c>
      <c r="U223" s="241" t="s">
        <v>3864</v>
      </c>
      <c r="V223" s="271" t="s">
        <v>79</v>
      </c>
      <c r="W223" s="272">
        <v>1.9324</v>
      </c>
      <c r="X223" s="273">
        <f t="shared" ref="X223:X227" si="161">W223*I223</f>
        <v>579.72</v>
      </c>
      <c r="Y223" s="236"/>
      <c r="Z223" s="237" t="s">
        <v>355</v>
      </c>
      <c r="AA223" s="233" t="s">
        <v>53</v>
      </c>
      <c r="AB223" s="233"/>
      <c r="AC223" s="236"/>
      <c r="AD223" s="280"/>
      <c r="AE223" s="280">
        <f t="shared" si="157"/>
        <v>-300</v>
      </c>
      <c r="AF223" s="282"/>
      <c r="AG223" s="236"/>
      <c r="AH223" s="236"/>
      <c r="AI223" s="236">
        <f t="shared" si="159"/>
        <v>300</v>
      </c>
      <c r="AJ223" s="283"/>
      <c r="AL223" s="11">
        <f>I223</f>
        <v>300</v>
      </c>
      <c r="AM223" s="283">
        <f t="shared" si="158"/>
        <v>300</v>
      </c>
      <c r="AO223" s="283"/>
      <c r="AS223" s="236">
        <f>I223/25</f>
        <v>12</v>
      </c>
      <c r="BC223" s="240"/>
      <c r="BD223" s="240"/>
      <c r="BE223" s="240"/>
      <c r="BF223" s="240"/>
      <c r="BK223" s="288"/>
      <c r="BL223" s="288"/>
      <c r="BM223" s="288"/>
      <c r="BN223" s="288"/>
      <c r="BO223" s="288"/>
      <c r="BP223" s="288"/>
      <c r="BS223" s="11">
        <f>AS223</f>
        <v>12</v>
      </c>
      <c r="BT223" s="288">
        <f>'77770 S4 明细'!BV147+I223</f>
        <v>766287</v>
      </c>
      <c r="BU223" s="288"/>
      <c r="BV223" s="288">
        <f>'77770 S4 明细'!$BX$1-BT223</f>
        <v>-346287</v>
      </c>
      <c r="BW223" s="288">
        <f>'77770 S4 明细'!$BX$1+'77770 S4 明细'!$BY$1-BT223</f>
        <v>93713</v>
      </c>
      <c r="BX223" s="288"/>
      <c r="BY223" s="288"/>
      <c r="CD223" s="286"/>
      <c r="CE223" s="286"/>
      <c r="CF223" s="286"/>
      <c r="CG223" s="286"/>
      <c r="CH223" s="286"/>
      <c r="CI223" s="286"/>
      <c r="CJ223" s="286"/>
      <c r="CK223" s="286"/>
      <c r="CL223" s="286"/>
      <c r="CM223" s="286"/>
      <c r="CN223" s="286"/>
      <c r="CO223" s="286"/>
      <c r="CP223" s="286"/>
      <c r="CQ223" s="286"/>
      <c r="CR223" s="286"/>
      <c r="CS223" s="286"/>
      <c r="CT223" s="286"/>
      <c r="CU223" s="286"/>
      <c r="CV223" s="286"/>
      <c r="CW223" s="286"/>
      <c r="CX223" s="286"/>
      <c r="CY223" s="286"/>
    </row>
    <row r="224" s="11" customFormat="1" ht="31" customHeight="1" spans="1:103">
      <c r="A224" s="238">
        <v>45950</v>
      </c>
      <c r="B224" s="239" t="s">
        <v>498</v>
      </c>
      <c r="C224" s="240" t="s">
        <v>149</v>
      </c>
      <c r="D224" s="239">
        <v>4500182440</v>
      </c>
      <c r="E224" s="236" t="s">
        <v>3865</v>
      </c>
      <c r="F224" s="239" t="s">
        <v>3866</v>
      </c>
      <c r="G224" s="237" t="s">
        <v>145</v>
      </c>
      <c r="H224" s="233" t="s">
        <v>137</v>
      </c>
      <c r="I224" s="233">
        <v>520</v>
      </c>
      <c r="J224" s="233">
        <v>0</v>
      </c>
      <c r="K224" s="233">
        <v>52</v>
      </c>
      <c r="L224" s="251">
        <f t="shared" si="130"/>
        <v>10</v>
      </c>
      <c r="M224" s="248">
        <v>46001</v>
      </c>
      <c r="N224" s="248">
        <v>45997</v>
      </c>
      <c r="O224" s="236"/>
      <c r="P224" s="252"/>
      <c r="Q224" s="236"/>
      <c r="R224" s="270">
        <v>45950</v>
      </c>
      <c r="S224" s="270" t="s">
        <v>58</v>
      </c>
      <c r="T224" s="270" t="s">
        <v>1035</v>
      </c>
      <c r="U224" s="241" t="s">
        <v>1036</v>
      </c>
      <c r="V224" s="271" t="s">
        <v>503</v>
      </c>
      <c r="W224" s="272">
        <v>1.8769</v>
      </c>
      <c r="X224" s="273">
        <f t="shared" si="161"/>
        <v>975.988</v>
      </c>
      <c r="Y224" s="236"/>
      <c r="Z224" s="237" t="s">
        <v>145</v>
      </c>
      <c r="AA224" s="233" t="s">
        <v>53</v>
      </c>
      <c r="AB224" s="233" t="s">
        <v>54</v>
      </c>
      <c r="AC224" s="236"/>
      <c r="AD224" s="280"/>
      <c r="AE224" s="280">
        <f t="shared" si="157"/>
        <v>-520</v>
      </c>
      <c r="AF224" s="282"/>
      <c r="AG224" s="239" t="s">
        <v>55</v>
      </c>
      <c r="AH224" s="236"/>
      <c r="AI224" s="236">
        <f t="shared" si="159"/>
        <v>520</v>
      </c>
      <c r="AJ224" s="283">
        <f t="shared" si="160"/>
        <v>520</v>
      </c>
      <c r="AM224" s="11">
        <f t="shared" si="158"/>
        <v>520</v>
      </c>
      <c r="AO224" s="283"/>
      <c r="AP224" s="11">
        <f t="shared" ref="AP224:AP227" si="162">I224/13</f>
        <v>40</v>
      </c>
      <c r="AS224" s="236"/>
      <c r="BC224" s="240"/>
      <c r="BD224" s="240"/>
      <c r="BE224" s="240"/>
      <c r="BF224" s="240"/>
      <c r="BK224" s="288"/>
      <c r="BL224" s="288"/>
      <c r="BM224" s="288"/>
      <c r="BN224" s="288"/>
      <c r="BO224" s="288"/>
      <c r="BP224" s="288"/>
      <c r="BT224" s="288">
        <f>'77770 S4 明细'!BV120+I224</f>
        <v>700240</v>
      </c>
      <c r="BU224" s="288"/>
      <c r="BV224" s="288">
        <f>'77770 S4 明细'!$BX$1-BT224</f>
        <v>-280240</v>
      </c>
      <c r="BW224" s="288">
        <f>'77770 S4 明细'!$BX$1+'77770 S4 明细'!$BY$1-BT224</f>
        <v>159760</v>
      </c>
      <c r="BX224" s="288"/>
      <c r="BY224" s="288"/>
      <c r="CD224" s="286"/>
      <c r="CE224" s="286"/>
      <c r="CF224" s="286"/>
      <c r="CG224" s="286"/>
      <c r="CH224" s="286"/>
      <c r="CI224" s="286"/>
      <c r="CJ224" s="286"/>
      <c r="CK224" s="286"/>
      <c r="CL224" s="286"/>
      <c r="CM224" s="286"/>
      <c r="CN224" s="286"/>
      <c r="CO224" s="286"/>
      <c r="CP224" s="286"/>
      <c r="CQ224" s="286"/>
      <c r="CR224" s="286"/>
      <c r="CS224" s="286"/>
      <c r="CT224" s="286"/>
      <c r="CU224" s="286"/>
      <c r="CV224" s="286"/>
      <c r="CW224" s="286"/>
      <c r="CX224" s="286"/>
      <c r="CY224" s="286"/>
    </row>
    <row r="225" s="11" customFormat="1" ht="31" customHeight="1" spans="1:103">
      <c r="A225" s="238">
        <v>45950</v>
      </c>
      <c r="B225" s="239" t="s">
        <v>498</v>
      </c>
      <c r="C225" s="240" t="s">
        <v>149</v>
      </c>
      <c r="D225" s="239">
        <v>4500182440</v>
      </c>
      <c r="E225" s="236" t="s">
        <v>3867</v>
      </c>
      <c r="F225" s="239" t="s">
        <v>3868</v>
      </c>
      <c r="G225" s="237" t="s">
        <v>145</v>
      </c>
      <c r="H225" s="233" t="s">
        <v>137</v>
      </c>
      <c r="I225" s="233">
        <v>468</v>
      </c>
      <c r="J225" s="233">
        <v>0</v>
      </c>
      <c r="K225" s="233">
        <v>52</v>
      </c>
      <c r="L225" s="251">
        <f t="shared" si="130"/>
        <v>9</v>
      </c>
      <c r="M225" s="248">
        <v>46001</v>
      </c>
      <c r="N225" s="248">
        <v>45997</v>
      </c>
      <c r="O225" s="236"/>
      <c r="P225" s="252"/>
      <c r="Q225" s="236"/>
      <c r="R225" s="270">
        <v>45950</v>
      </c>
      <c r="S225" s="270" t="s">
        <v>58</v>
      </c>
      <c r="T225" s="270" t="s">
        <v>1035</v>
      </c>
      <c r="U225" s="241" t="s">
        <v>1036</v>
      </c>
      <c r="V225" s="271" t="s">
        <v>503</v>
      </c>
      <c r="W225" s="272">
        <v>1.8769</v>
      </c>
      <c r="X225" s="273">
        <f t="shared" si="161"/>
        <v>878.3892</v>
      </c>
      <c r="Y225" s="236"/>
      <c r="Z225" s="237" t="s">
        <v>145</v>
      </c>
      <c r="AA225" s="233" t="s">
        <v>53</v>
      </c>
      <c r="AB225" s="233" t="s">
        <v>54</v>
      </c>
      <c r="AC225" s="236"/>
      <c r="AD225" s="280"/>
      <c r="AE225" s="280">
        <f t="shared" si="157"/>
        <v>-468</v>
      </c>
      <c r="AF225" s="282"/>
      <c r="AG225" s="284"/>
      <c r="AH225" s="236"/>
      <c r="AI225" s="236">
        <f t="shared" si="159"/>
        <v>468</v>
      </c>
      <c r="AJ225" s="283">
        <f t="shared" si="160"/>
        <v>468</v>
      </c>
      <c r="AM225" s="11">
        <f t="shared" si="158"/>
        <v>468</v>
      </c>
      <c r="AO225" s="283"/>
      <c r="AP225" s="11">
        <f t="shared" si="162"/>
        <v>36</v>
      </c>
      <c r="AS225" s="236"/>
      <c r="BC225" s="240"/>
      <c r="BD225" s="240"/>
      <c r="BE225" s="240"/>
      <c r="BF225" s="240"/>
      <c r="BK225" s="288"/>
      <c r="BL225" s="288"/>
      <c r="BM225" s="288"/>
      <c r="BN225" s="288"/>
      <c r="BO225" s="288"/>
      <c r="BP225" s="288"/>
      <c r="BT225" s="288">
        <f t="shared" ref="BT225:BT227" si="163">BT224+I225</f>
        <v>700708</v>
      </c>
      <c r="BU225" s="288"/>
      <c r="BV225" s="288">
        <f>'77770 S4 明细'!$BX$1-BT225</f>
        <v>-280708</v>
      </c>
      <c r="BW225" s="288">
        <f>'77770 S4 明细'!$BX$1+'77770 S4 明细'!$BY$1-BT225</f>
        <v>159292</v>
      </c>
      <c r="BX225" s="288"/>
      <c r="BY225" s="288"/>
      <c r="CD225" s="286"/>
      <c r="CE225" s="286"/>
      <c r="CF225" s="286"/>
      <c r="CG225" s="286"/>
      <c r="CH225" s="286"/>
      <c r="CI225" s="286"/>
      <c r="CJ225" s="286"/>
      <c r="CK225" s="286"/>
      <c r="CL225" s="286"/>
      <c r="CM225" s="286"/>
      <c r="CN225" s="286"/>
      <c r="CO225" s="286"/>
      <c r="CP225" s="286"/>
      <c r="CQ225" s="286"/>
      <c r="CR225" s="286"/>
      <c r="CS225" s="286"/>
      <c r="CT225" s="286"/>
      <c r="CU225" s="286"/>
      <c r="CV225" s="286"/>
      <c r="CW225" s="286"/>
      <c r="CX225" s="286"/>
      <c r="CY225" s="286"/>
    </row>
    <row r="226" s="11" customFormat="1" ht="31" customHeight="1" spans="1:103">
      <c r="A226" s="238">
        <v>45950</v>
      </c>
      <c r="B226" s="239" t="s">
        <v>498</v>
      </c>
      <c r="C226" s="240" t="s">
        <v>149</v>
      </c>
      <c r="D226" s="239">
        <v>4500182440</v>
      </c>
      <c r="E226" s="236" t="s">
        <v>3869</v>
      </c>
      <c r="F226" s="239" t="s">
        <v>3870</v>
      </c>
      <c r="G226" s="237" t="s">
        <v>145</v>
      </c>
      <c r="H226" s="233" t="s">
        <v>137</v>
      </c>
      <c r="I226" s="233">
        <v>364</v>
      </c>
      <c r="J226" s="233">
        <v>0</v>
      </c>
      <c r="K226" s="233">
        <v>52</v>
      </c>
      <c r="L226" s="251">
        <f t="shared" si="130"/>
        <v>7</v>
      </c>
      <c r="M226" s="248">
        <v>46001</v>
      </c>
      <c r="N226" s="248">
        <v>45997</v>
      </c>
      <c r="O226" s="236"/>
      <c r="P226" s="252"/>
      <c r="Q226" s="236"/>
      <c r="R226" s="270">
        <v>45950</v>
      </c>
      <c r="S226" s="270" t="s">
        <v>58</v>
      </c>
      <c r="T226" s="270" t="s">
        <v>1035</v>
      </c>
      <c r="U226" s="241" t="s">
        <v>1036</v>
      </c>
      <c r="V226" s="271" t="s">
        <v>503</v>
      </c>
      <c r="W226" s="272">
        <v>1.8769</v>
      </c>
      <c r="X226" s="273">
        <f t="shared" si="161"/>
        <v>683.1916</v>
      </c>
      <c r="Y226" s="236"/>
      <c r="Z226" s="237" t="s">
        <v>145</v>
      </c>
      <c r="AA226" s="233" t="s">
        <v>53</v>
      </c>
      <c r="AB226" s="233" t="s">
        <v>54</v>
      </c>
      <c r="AC226" s="236"/>
      <c r="AD226" s="280"/>
      <c r="AE226" s="280">
        <f t="shared" si="157"/>
        <v>-364</v>
      </c>
      <c r="AF226" s="282"/>
      <c r="AG226" s="284"/>
      <c r="AH226" s="236"/>
      <c r="AI226" s="236">
        <f t="shared" si="159"/>
        <v>364</v>
      </c>
      <c r="AJ226" s="283">
        <f t="shared" si="160"/>
        <v>364</v>
      </c>
      <c r="AM226" s="11">
        <f t="shared" si="158"/>
        <v>364</v>
      </c>
      <c r="AO226" s="283"/>
      <c r="AP226" s="11">
        <f t="shared" si="162"/>
        <v>28</v>
      </c>
      <c r="AS226" s="236"/>
      <c r="BC226" s="240"/>
      <c r="BD226" s="240"/>
      <c r="BE226" s="240"/>
      <c r="BF226" s="240"/>
      <c r="BK226" s="288"/>
      <c r="BL226" s="288"/>
      <c r="BM226" s="288"/>
      <c r="BN226" s="288"/>
      <c r="BO226" s="288"/>
      <c r="BP226" s="288"/>
      <c r="BT226" s="288">
        <f t="shared" si="163"/>
        <v>701072</v>
      </c>
      <c r="BU226" s="288"/>
      <c r="BV226" s="288">
        <f>'77770 S4 明细'!$BX$1-BT226</f>
        <v>-281072</v>
      </c>
      <c r="BW226" s="288">
        <f>'77770 S4 明细'!$BX$1+'77770 S4 明细'!$BY$1-BT226</f>
        <v>158928</v>
      </c>
      <c r="BX226" s="288"/>
      <c r="BY226" s="288"/>
      <c r="CD226" s="286"/>
      <c r="CE226" s="286"/>
      <c r="CF226" s="286"/>
      <c r="CG226" s="286"/>
      <c r="CH226" s="286"/>
      <c r="CI226" s="286"/>
      <c r="CJ226" s="286"/>
      <c r="CK226" s="286"/>
      <c r="CL226" s="286"/>
      <c r="CM226" s="286"/>
      <c r="CN226" s="286"/>
      <c r="CO226" s="286"/>
      <c r="CP226" s="286"/>
      <c r="CQ226" s="286"/>
      <c r="CR226" s="286"/>
      <c r="CS226" s="286"/>
      <c r="CT226" s="286"/>
      <c r="CU226" s="286"/>
      <c r="CV226" s="286"/>
      <c r="CW226" s="286"/>
      <c r="CX226" s="286"/>
      <c r="CY226" s="286"/>
    </row>
    <row r="227" s="11" customFormat="1" ht="31" customHeight="1" spans="1:103">
      <c r="A227" s="238">
        <v>45950</v>
      </c>
      <c r="B227" s="239" t="s">
        <v>498</v>
      </c>
      <c r="C227" s="240" t="s">
        <v>149</v>
      </c>
      <c r="D227" s="239">
        <v>4500182440</v>
      </c>
      <c r="E227" s="236" t="s">
        <v>3871</v>
      </c>
      <c r="F227" s="239" t="s">
        <v>3872</v>
      </c>
      <c r="G227" s="237" t="s">
        <v>145</v>
      </c>
      <c r="H227" s="233" t="s">
        <v>137</v>
      </c>
      <c r="I227" s="233">
        <v>156</v>
      </c>
      <c r="J227" s="233">
        <v>0</v>
      </c>
      <c r="K227" s="233">
        <v>52</v>
      </c>
      <c r="L227" s="251">
        <f t="shared" si="130"/>
        <v>3</v>
      </c>
      <c r="M227" s="248">
        <v>46001</v>
      </c>
      <c r="N227" s="248">
        <v>45997</v>
      </c>
      <c r="O227" s="236"/>
      <c r="P227" s="252"/>
      <c r="Q227" s="236"/>
      <c r="R227" s="270">
        <v>45950</v>
      </c>
      <c r="S227" s="270" t="s">
        <v>58</v>
      </c>
      <c r="T227" s="270" t="s">
        <v>1035</v>
      </c>
      <c r="U227" s="241" t="s">
        <v>1036</v>
      </c>
      <c r="V227" s="271" t="s">
        <v>503</v>
      </c>
      <c r="W227" s="272">
        <v>1.8769</v>
      </c>
      <c r="X227" s="273">
        <f t="shared" si="161"/>
        <v>292.7964</v>
      </c>
      <c r="Y227" s="236"/>
      <c r="Z227" s="237" t="s">
        <v>145</v>
      </c>
      <c r="AA227" s="233" t="s">
        <v>53</v>
      </c>
      <c r="AB227" s="233" t="s">
        <v>54</v>
      </c>
      <c r="AC227" s="236"/>
      <c r="AD227" s="280"/>
      <c r="AE227" s="280">
        <f t="shared" si="157"/>
        <v>-156</v>
      </c>
      <c r="AF227" s="282"/>
      <c r="AG227" s="279"/>
      <c r="AH227" s="236"/>
      <c r="AI227" s="236">
        <f t="shared" si="159"/>
        <v>156</v>
      </c>
      <c r="AJ227" s="283">
        <f t="shared" si="160"/>
        <v>156</v>
      </c>
      <c r="AM227" s="11">
        <f t="shared" si="158"/>
        <v>156</v>
      </c>
      <c r="AO227" s="283"/>
      <c r="AP227" s="11">
        <f t="shared" si="162"/>
        <v>12</v>
      </c>
      <c r="AS227" s="236"/>
      <c r="BC227" s="240"/>
      <c r="BD227" s="240"/>
      <c r="BE227" s="240"/>
      <c r="BF227" s="240"/>
      <c r="BK227" s="288"/>
      <c r="BL227" s="288"/>
      <c r="BM227" s="288"/>
      <c r="BN227" s="288"/>
      <c r="BO227" s="288"/>
      <c r="BP227" s="288"/>
      <c r="BT227" s="288">
        <f t="shared" si="163"/>
        <v>701228</v>
      </c>
      <c r="BU227" s="288"/>
      <c r="BV227" s="288">
        <f>'77770 S4 明细'!$BX$1-BT227</f>
        <v>-281228</v>
      </c>
      <c r="BW227" s="288">
        <f>'77770 S4 明细'!$BX$1+'77770 S4 明细'!$BY$1-BT227</f>
        <v>158772</v>
      </c>
      <c r="BX227" s="288"/>
      <c r="BY227" s="288"/>
      <c r="CD227" s="286"/>
      <c r="CE227" s="286"/>
      <c r="CF227" s="286"/>
      <c r="CG227" s="286"/>
      <c r="CH227" s="286"/>
      <c r="CI227" s="286"/>
      <c r="CJ227" s="286"/>
      <c r="CK227" s="286"/>
      <c r="CL227" s="286"/>
      <c r="CM227" s="286"/>
      <c r="CN227" s="286"/>
      <c r="CO227" s="286"/>
      <c r="CP227" s="286"/>
      <c r="CQ227" s="286"/>
      <c r="CR227" s="286"/>
      <c r="CS227" s="286"/>
      <c r="CT227" s="286"/>
      <c r="CU227" s="286"/>
      <c r="CV227" s="286"/>
      <c r="CW227" s="286"/>
      <c r="CX227" s="286"/>
      <c r="CY227" s="286"/>
    </row>
    <row r="228" s="11" customFormat="1" ht="31" customHeight="1" spans="1:103">
      <c r="A228" s="238">
        <v>45965</v>
      </c>
      <c r="B228" s="239" t="s">
        <v>162</v>
      </c>
      <c r="C228" s="240" t="s">
        <v>84</v>
      </c>
      <c r="D228" s="239">
        <v>4500184412</v>
      </c>
      <c r="E228" s="236" t="s">
        <v>3873</v>
      </c>
      <c r="F228" s="241" t="s">
        <v>3874</v>
      </c>
      <c r="G228" s="237" t="s">
        <v>187</v>
      </c>
      <c r="H228" s="233" t="s">
        <v>484</v>
      </c>
      <c r="I228" s="233">
        <v>24600</v>
      </c>
      <c r="J228" s="233">
        <v>0</v>
      </c>
      <c r="K228" s="233">
        <v>25</v>
      </c>
      <c r="L228" s="251">
        <f t="shared" si="130"/>
        <v>984</v>
      </c>
      <c r="M228" s="248">
        <v>46010</v>
      </c>
      <c r="N228" s="248">
        <v>46006</v>
      </c>
      <c r="O228" s="236" t="s">
        <v>3623</v>
      </c>
      <c r="P228" s="252"/>
      <c r="Q228" s="236"/>
      <c r="R228" s="270">
        <v>45967</v>
      </c>
      <c r="S228" s="270" t="s">
        <v>58</v>
      </c>
      <c r="T228" s="270" t="s">
        <v>58</v>
      </c>
      <c r="U228" s="241" t="s">
        <v>3875</v>
      </c>
      <c r="V228" s="271" t="s">
        <v>168</v>
      </c>
      <c r="W228" s="272">
        <v>1.1295</v>
      </c>
      <c r="X228" s="273">
        <f>I228*W228</f>
        <v>27785.7</v>
      </c>
      <c r="Y228" s="236"/>
      <c r="Z228" s="237" t="s">
        <v>187</v>
      </c>
      <c r="AA228" s="233" t="s">
        <v>53</v>
      </c>
      <c r="AB228" s="233" t="s">
        <v>54</v>
      </c>
      <c r="AC228" s="236"/>
      <c r="AD228" s="280"/>
      <c r="AE228" s="280">
        <f t="shared" si="157"/>
        <v>-24600</v>
      </c>
      <c r="AF228" s="282"/>
      <c r="AG228" s="236" t="s">
        <v>55</v>
      </c>
      <c r="AH228" s="236"/>
      <c r="AI228" s="285">
        <f t="shared" si="159"/>
        <v>24600</v>
      </c>
      <c r="AJ228" s="283">
        <f t="shared" si="160"/>
        <v>24600</v>
      </c>
      <c r="AM228" s="11">
        <f t="shared" si="158"/>
        <v>24600</v>
      </c>
      <c r="AR228" s="11">
        <f>I228/25</f>
        <v>984</v>
      </c>
      <c r="AS228" s="236"/>
      <c r="BC228" s="240"/>
      <c r="BD228" s="240"/>
      <c r="BE228" s="240"/>
      <c r="BF228" s="240"/>
      <c r="BK228" s="288"/>
      <c r="BL228" s="288"/>
      <c r="BM228" s="288"/>
      <c r="BN228" s="288"/>
      <c r="BO228" s="288"/>
      <c r="BP228" s="288"/>
      <c r="BT228" s="291">
        <f>'77770 S4 明细'!BV143+I228</f>
        <v>775229</v>
      </c>
      <c r="BU228" s="288"/>
      <c r="BV228" s="288">
        <f>'77770 S4 明细'!$BX$1-BT228</f>
        <v>-355229</v>
      </c>
      <c r="BW228" s="288">
        <f>'77770 S4 明细'!$BX$1+'77770 S4 明细'!$BY$1-BT228</f>
        <v>84771</v>
      </c>
      <c r="BX228" s="288"/>
      <c r="BY228" s="288"/>
      <c r="CD228" s="286"/>
      <c r="CE228" s="286"/>
      <c r="CF228" s="286"/>
      <c r="CG228" s="286"/>
      <c r="CH228" s="286"/>
      <c r="CI228" s="286"/>
      <c r="CJ228" s="286"/>
      <c r="CK228" s="286"/>
      <c r="CL228" s="286"/>
      <c r="CM228" s="286"/>
      <c r="CN228" s="286"/>
      <c r="CO228" s="286"/>
      <c r="CP228" s="286"/>
      <c r="CQ228" s="286"/>
      <c r="CR228" s="286"/>
      <c r="CS228" s="286"/>
      <c r="CT228" s="286"/>
      <c r="CU228" s="286"/>
      <c r="CV228" s="286"/>
      <c r="CW228" s="286"/>
      <c r="CX228" s="286"/>
      <c r="CY228" s="286"/>
    </row>
    <row r="229" s="11" customFormat="1" ht="31" customHeight="1" spans="1:103">
      <c r="A229" s="238">
        <v>45965</v>
      </c>
      <c r="B229" s="239" t="s">
        <v>162</v>
      </c>
      <c r="C229" s="240" t="s">
        <v>84</v>
      </c>
      <c r="D229" s="239">
        <v>4500184413</v>
      </c>
      <c r="E229" s="236" t="s">
        <v>3876</v>
      </c>
      <c r="F229" s="241" t="s">
        <v>3877</v>
      </c>
      <c r="G229" s="237" t="s">
        <v>187</v>
      </c>
      <c r="H229" s="233" t="s">
        <v>484</v>
      </c>
      <c r="I229" s="233">
        <v>10775</v>
      </c>
      <c r="J229" s="233">
        <v>0</v>
      </c>
      <c r="K229" s="233">
        <v>25</v>
      </c>
      <c r="L229" s="251">
        <f t="shared" si="130"/>
        <v>431</v>
      </c>
      <c r="M229" s="248">
        <v>46012</v>
      </c>
      <c r="N229" s="248">
        <v>46008</v>
      </c>
      <c r="O229" s="236" t="s">
        <v>3623</v>
      </c>
      <c r="P229" s="252"/>
      <c r="Q229" s="236"/>
      <c r="R229" s="270">
        <v>45967</v>
      </c>
      <c r="S229" s="270" t="s">
        <v>58</v>
      </c>
      <c r="T229" s="270" t="s">
        <v>58</v>
      </c>
      <c r="U229" s="241" t="s">
        <v>3878</v>
      </c>
      <c r="V229" s="271" t="s">
        <v>168</v>
      </c>
      <c r="W229" s="272">
        <v>1.1357</v>
      </c>
      <c r="X229" s="273">
        <f>I229*W229</f>
        <v>12237.1675</v>
      </c>
      <c r="Y229" s="236"/>
      <c r="Z229" s="237" t="s">
        <v>187</v>
      </c>
      <c r="AA229" s="233" t="s">
        <v>53</v>
      </c>
      <c r="AB229" s="233" t="s">
        <v>54</v>
      </c>
      <c r="AC229" s="236"/>
      <c r="AD229" s="280"/>
      <c r="AE229" s="280">
        <f t="shared" si="157"/>
        <v>-10775</v>
      </c>
      <c r="AF229" s="282"/>
      <c r="AG229" s="236" t="s">
        <v>55</v>
      </c>
      <c r="AH229" s="236"/>
      <c r="AI229" s="285">
        <f t="shared" si="159"/>
        <v>10775</v>
      </c>
      <c r="AJ229" s="283">
        <f t="shared" si="160"/>
        <v>10775</v>
      </c>
      <c r="AM229" s="11">
        <f t="shared" si="158"/>
        <v>10775</v>
      </c>
      <c r="AR229" s="11">
        <f>I229/25</f>
        <v>431</v>
      </c>
      <c r="AS229" s="236"/>
      <c r="BC229" s="240"/>
      <c r="BD229" s="240"/>
      <c r="BE229" s="240"/>
      <c r="BF229" s="240"/>
      <c r="BK229" s="288"/>
      <c r="BL229" s="288"/>
      <c r="BM229" s="288"/>
      <c r="BN229" s="288"/>
      <c r="BO229" s="288"/>
      <c r="BP229" s="288"/>
      <c r="BT229" s="291">
        <f>'77770 S4 明细'!BV153+I229</f>
        <v>812279</v>
      </c>
      <c r="BU229" s="288"/>
      <c r="BV229" s="288">
        <f>'77770 S4 明细'!$BX$1-BT229</f>
        <v>-392279</v>
      </c>
      <c r="BW229" s="288">
        <f>'77770 S4 明细'!$BX$1+'77770 S4 明细'!$BY$1-BT229</f>
        <v>47721</v>
      </c>
      <c r="BX229" s="288"/>
      <c r="BY229" s="288"/>
      <c r="CD229" s="286"/>
      <c r="CE229" s="286"/>
      <c r="CF229" s="286"/>
      <c r="CG229" s="286"/>
      <c r="CH229" s="286"/>
      <c r="CI229" s="286"/>
      <c r="CJ229" s="286"/>
      <c r="CK229" s="286"/>
      <c r="CL229" s="286"/>
      <c r="CM229" s="286"/>
      <c r="CN229" s="286"/>
      <c r="CO229" s="286"/>
      <c r="CP229" s="286"/>
      <c r="CQ229" s="286"/>
      <c r="CR229" s="286"/>
      <c r="CS229" s="286"/>
      <c r="CT229" s="286"/>
      <c r="CU229" s="286"/>
      <c r="CV229" s="286"/>
      <c r="CW229" s="286"/>
      <c r="CX229" s="286"/>
      <c r="CY229" s="286"/>
    </row>
  </sheetData>
  <autoFilter xmlns:etc="http://www.wps.cn/officeDocument/2017/etCustomData" ref="A1:CS229" etc:filterBottomFollowUsedRange="0">
    <extLst/>
  </autoFilter>
  <mergeCells count="5">
    <mergeCell ref="T36:T37"/>
    <mergeCell ref="U50:U51"/>
    <mergeCell ref="U139:U140"/>
    <mergeCell ref="AD50:AD51"/>
    <mergeCell ref="AG224:AG227"/>
  </mergeCells>
  <conditionalFormatting sqref="V1">
    <cfRule type="cellIs" dxfId="0" priority="1432" operator="equal">
      <formula>"未完成"</formula>
    </cfRule>
  </conditionalFormatting>
  <conditionalFormatting sqref="Y1:AB1">
    <cfRule type="cellIs" dxfId="1" priority="1433" operator="equal">
      <formula>"未完成"</formula>
    </cfRule>
    <cfRule type="cellIs" dxfId="0" priority="1434" operator="equal">
      <formula>"未完成"</formula>
    </cfRule>
  </conditionalFormatting>
  <conditionalFormatting sqref="AA38">
    <cfRule type="cellIs" dxfId="0" priority="1424" operator="equal">
      <formula>"未完成"</formula>
    </cfRule>
  </conditionalFormatting>
  <conditionalFormatting sqref="AB38:AE38">
    <cfRule type="cellIs" dxfId="1" priority="1426" operator="equal">
      <formula>"未完成"</formula>
    </cfRule>
    <cfRule type="cellIs" dxfId="0" priority="1427" operator="equal">
      <formula>"未完成"</formula>
    </cfRule>
  </conditionalFormatting>
  <conditionalFormatting sqref="AA39">
    <cfRule type="cellIs" dxfId="0" priority="1416" operator="equal">
      <formula>"未完成"</formula>
    </cfRule>
  </conditionalFormatting>
  <conditionalFormatting sqref="AB39:AE39">
    <cfRule type="cellIs" dxfId="1" priority="1418" operator="equal">
      <formula>"未完成"</formula>
    </cfRule>
    <cfRule type="cellIs" dxfId="0" priority="1419" operator="equal">
      <formula>"未完成"</formula>
    </cfRule>
  </conditionalFormatting>
  <conditionalFormatting sqref="AA40">
    <cfRule type="cellIs" dxfId="0" priority="1412" operator="equal">
      <formula>"未完成"</formula>
    </cfRule>
  </conditionalFormatting>
  <conditionalFormatting sqref="AB40:AE40">
    <cfRule type="cellIs" dxfId="1" priority="1414" operator="equal">
      <formula>"未完成"</formula>
    </cfRule>
    <cfRule type="cellIs" dxfId="0" priority="1415" operator="equal">
      <formula>"未完成"</formula>
    </cfRule>
  </conditionalFormatting>
  <conditionalFormatting sqref="AA41">
    <cfRule type="cellIs" dxfId="0" priority="1408" operator="equal">
      <formula>"未完成"</formula>
    </cfRule>
  </conditionalFormatting>
  <conditionalFormatting sqref="AB41:AE41">
    <cfRule type="cellIs" dxfId="1" priority="1410" operator="equal">
      <formula>"未完成"</formula>
    </cfRule>
    <cfRule type="cellIs" dxfId="0" priority="1411" operator="equal">
      <formula>"未完成"</formula>
    </cfRule>
  </conditionalFormatting>
  <conditionalFormatting sqref="AA42">
    <cfRule type="cellIs" dxfId="0" priority="1404" operator="equal">
      <formula>"未完成"</formula>
    </cfRule>
  </conditionalFormatting>
  <conditionalFormatting sqref="AB42:AE42">
    <cfRule type="cellIs" dxfId="1" priority="1406" operator="equal">
      <formula>"未完成"</formula>
    </cfRule>
    <cfRule type="cellIs" dxfId="0" priority="1407" operator="equal">
      <formula>"未完成"</formula>
    </cfRule>
  </conditionalFormatting>
  <conditionalFormatting sqref="AA43">
    <cfRule type="cellIs" dxfId="0" priority="1400" operator="equal">
      <formula>"未完成"</formula>
    </cfRule>
  </conditionalFormatting>
  <conditionalFormatting sqref="AB43:AE43">
    <cfRule type="cellIs" dxfId="1" priority="1402" operator="equal">
      <formula>"未完成"</formula>
    </cfRule>
    <cfRule type="cellIs" dxfId="0" priority="1403" operator="equal">
      <formula>"未完成"</formula>
    </cfRule>
  </conditionalFormatting>
  <conditionalFormatting sqref="AA44">
    <cfRule type="cellIs" dxfId="0" priority="1396" operator="equal">
      <formula>"未完成"</formula>
    </cfRule>
  </conditionalFormatting>
  <conditionalFormatting sqref="AB44:AE44">
    <cfRule type="cellIs" dxfId="1" priority="1398" operator="equal">
      <formula>"未完成"</formula>
    </cfRule>
    <cfRule type="cellIs" dxfId="0" priority="1399" operator="equal">
      <formula>"未完成"</formula>
    </cfRule>
  </conditionalFormatting>
  <conditionalFormatting sqref="AA45">
    <cfRule type="cellIs" dxfId="0" priority="1392" operator="equal">
      <formula>"未完成"</formula>
    </cfRule>
  </conditionalFormatting>
  <conditionalFormatting sqref="AB45:AE45">
    <cfRule type="cellIs" dxfId="1" priority="1394" operator="equal">
      <formula>"未完成"</formula>
    </cfRule>
    <cfRule type="cellIs" dxfId="0" priority="1395" operator="equal">
      <formula>"未完成"</formula>
    </cfRule>
  </conditionalFormatting>
  <conditionalFormatting sqref="AA47">
    <cfRule type="cellIs" dxfId="0" priority="1377" operator="equal">
      <formula>"未完成"</formula>
    </cfRule>
  </conditionalFormatting>
  <conditionalFormatting sqref="AB47:AE47">
    <cfRule type="cellIs" dxfId="1" priority="1381" operator="equal">
      <formula>"未完成"</formula>
    </cfRule>
    <cfRule type="cellIs" dxfId="0" priority="1383" operator="equal">
      <formula>"未完成"</formula>
    </cfRule>
  </conditionalFormatting>
  <conditionalFormatting sqref="AA48">
    <cfRule type="cellIs" dxfId="0" priority="1376" operator="equal">
      <formula>"未完成"</formula>
    </cfRule>
  </conditionalFormatting>
  <conditionalFormatting sqref="AB48:AE48">
    <cfRule type="cellIs" dxfId="1" priority="1380" operator="equal">
      <formula>"未完成"</formula>
    </cfRule>
    <cfRule type="cellIs" dxfId="0" priority="1382" operator="equal">
      <formula>"未完成"</formula>
    </cfRule>
  </conditionalFormatting>
  <conditionalFormatting sqref="AA49">
    <cfRule type="cellIs" dxfId="0" priority="1384" operator="equal">
      <formula>"未完成"</formula>
    </cfRule>
  </conditionalFormatting>
  <conditionalFormatting sqref="AB49:AE49">
    <cfRule type="cellIs" dxfId="1" priority="1386" operator="equal">
      <formula>"未完成"</formula>
    </cfRule>
    <cfRule type="cellIs" dxfId="0" priority="1387" operator="equal">
      <formula>"未完成"</formula>
    </cfRule>
  </conditionalFormatting>
  <conditionalFormatting sqref="AD53">
    <cfRule type="cellIs" dxfId="1" priority="1374" operator="equal">
      <formula>"未完成"</formula>
    </cfRule>
    <cfRule type="cellIs" dxfId="0" priority="1375" operator="equal">
      <formula>"未完成"</formula>
    </cfRule>
  </conditionalFormatting>
  <conditionalFormatting sqref="AA54">
    <cfRule type="cellIs" dxfId="0" priority="1226" operator="equal">
      <formula>"未完成"</formula>
    </cfRule>
  </conditionalFormatting>
  <conditionalFormatting sqref="AD54">
    <cfRule type="cellIs" dxfId="1" priority="1128" operator="equal">
      <formula>"未完成"</formula>
    </cfRule>
    <cfRule type="cellIs" dxfId="0" priority="1177" operator="equal">
      <formula>"未完成"</formula>
    </cfRule>
  </conditionalFormatting>
  <conditionalFormatting sqref="AA55">
    <cfRule type="cellIs" dxfId="0" priority="1225" operator="equal">
      <formula>"未完成"</formula>
    </cfRule>
  </conditionalFormatting>
  <conditionalFormatting sqref="AD55">
    <cfRule type="cellIs" dxfId="1" priority="1127" operator="equal">
      <formula>"未完成"</formula>
    </cfRule>
    <cfRule type="cellIs" dxfId="0" priority="1176" operator="equal">
      <formula>"未完成"</formula>
    </cfRule>
  </conditionalFormatting>
  <conditionalFormatting sqref="AA56">
    <cfRule type="cellIs" dxfId="0" priority="1224" operator="equal">
      <formula>"未完成"</formula>
    </cfRule>
  </conditionalFormatting>
  <conditionalFormatting sqref="AD56">
    <cfRule type="cellIs" dxfId="1" priority="1126" operator="equal">
      <formula>"未完成"</formula>
    </cfRule>
    <cfRule type="cellIs" dxfId="0" priority="1175" operator="equal">
      <formula>"未完成"</formula>
    </cfRule>
  </conditionalFormatting>
  <conditionalFormatting sqref="AA57">
    <cfRule type="cellIs" dxfId="0" priority="1223" operator="equal">
      <formula>"未完成"</formula>
    </cfRule>
  </conditionalFormatting>
  <conditionalFormatting sqref="AD57">
    <cfRule type="cellIs" dxfId="1" priority="1125" operator="equal">
      <formula>"未完成"</formula>
    </cfRule>
    <cfRule type="cellIs" dxfId="0" priority="1174" operator="equal">
      <formula>"未完成"</formula>
    </cfRule>
  </conditionalFormatting>
  <conditionalFormatting sqref="AA58">
    <cfRule type="cellIs" dxfId="0" priority="1222" operator="equal">
      <formula>"未完成"</formula>
    </cfRule>
  </conditionalFormatting>
  <conditionalFormatting sqref="AD58">
    <cfRule type="cellIs" dxfId="1" priority="1124" operator="equal">
      <formula>"未完成"</formula>
    </cfRule>
    <cfRule type="cellIs" dxfId="0" priority="1173" operator="equal">
      <formula>"未完成"</formula>
    </cfRule>
  </conditionalFormatting>
  <conditionalFormatting sqref="AA59">
    <cfRule type="cellIs" dxfId="0" priority="1221" operator="equal">
      <formula>"未完成"</formula>
    </cfRule>
  </conditionalFormatting>
  <conditionalFormatting sqref="AD59">
    <cfRule type="cellIs" dxfId="1" priority="1123" operator="equal">
      <formula>"未完成"</formula>
    </cfRule>
    <cfRule type="cellIs" dxfId="0" priority="1172" operator="equal">
      <formula>"未完成"</formula>
    </cfRule>
  </conditionalFormatting>
  <conditionalFormatting sqref="AA60">
    <cfRule type="cellIs" dxfId="0" priority="1220" operator="equal">
      <formula>"未完成"</formula>
    </cfRule>
  </conditionalFormatting>
  <conditionalFormatting sqref="AD60">
    <cfRule type="cellIs" dxfId="1" priority="1122" operator="equal">
      <formula>"未完成"</formula>
    </cfRule>
    <cfRule type="cellIs" dxfId="0" priority="1171" operator="equal">
      <formula>"未完成"</formula>
    </cfRule>
  </conditionalFormatting>
  <conditionalFormatting sqref="AA61">
    <cfRule type="cellIs" dxfId="0" priority="1219" operator="equal">
      <formula>"未完成"</formula>
    </cfRule>
  </conditionalFormatting>
  <conditionalFormatting sqref="AD61">
    <cfRule type="cellIs" dxfId="1" priority="1121" operator="equal">
      <formula>"未完成"</formula>
    </cfRule>
    <cfRule type="cellIs" dxfId="0" priority="1170" operator="equal">
      <formula>"未完成"</formula>
    </cfRule>
  </conditionalFormatting>
  <conditionalFormatting sqref="AA62">
    <cfRule type="cellIs" dxfId="0" priority="1218" operator="equal">
      <formula>"未完成"</formula>
    </cfRule>
  </conditionalFormatting>
  <conditionalFormatting sqref="AD62">
    <cfRule type="cellIs" dxfId="1" priority="1120" operator="equal">
      <formula>"未完成"</formula>
    </cfRule>
    <cfRule type="cellIs" dxfId="0" priority="1169" operator="equal">
      <formula>"未完成"</formula>
    </cfRule>
  </conditionalFormatting>
  <conditionalFormatting sqref="AA63">
    <cfRule type="cellIs" dxfId="0" priority="1217" operator="equal">
      <formula>"未完成"</formula>
    </cfRule>
  </conditionalFormatting>
  <conditionalFormatting sqref="AD63">
    <cfRule type="cellIs" dxfId="1" priority="1119" operator="equal">
      <formula>"未完成"</formula>
    </cfRule>
    <cfRule type="cellIs" dxfId="0" priority="1168" operator="equal">
      <formula>"未完成"</formula>
    </cfRule>
  </conditionalFormatting>
  <conditionalFormatting sqref="AA64">
    <cfRule type="cellIs" dxfId="0" priority="1216" operator="equal">
      <formula>"未完成"</formula>
    </cfRule>
  </conditionalFormatting>
  <conditionalFormatting sqref="AD64">
    <cfRule type="cellIs" dxfId="1" priority="1118" operator="equal">
      <formula>"未完成"</formula>
    </cfRule>
    <cfRule type="cellIs" dxfId="0" priority="1167" operator="equal">
      <formula>"未完成"</formula>
    </cfRule>
  </conditionalFormatting>
  <conditionalFormatting sqref="AA65">
    <cfRule type="cellIs" dxfId="0" priority="1215" operator="equal">
      <formula>"未完成"</formula>
    </cfRule>
  </conditionalFormatting>
  <conditionalFormatting sqref="AD65">
    <cfRule type="cellIs" dxfId="1" priority="1117" operator="equal">
      <formula>"未完成"</formula>
    </cfRule>
    <cfRule type="cellIs" dxfId="0" priority="1166" operator="equal">
      <formula>"未完成"</formula>
    </cfRule>
  </conditionalFormatting>
  <conditionalFormatting sqref="AA66">
    <cfRule type="cellIs" dxfId="0" priority="1214" operator="equal">
      <formula>"未完成"</formula>
    </cfRule>
  </conditionalFormatting>
  <conditionalFormatting sqref="AD66">
    <cfRule type="cellIs" dxfId="1" priority="1116" operator="equal">
      <formula>"未完成"</formula>
    </cfRule>
    <cfRule type="cellIs" dxfId="0" priority="1165" operator="equal">
      <formula>"未完成"</formula>
    </cfRule>
  </conditionalFormatting>
  <conditionalFormatting sqref="AA67">
    <cfRule type="cellIs" dxfId="0" priority="1213" operator="equal">
      <formula>"未完成"</formula>
    </cfRule>
  </conditionalFormatting>
  <conditionalFormatting sqref="AD67">
    <cfRule type="cellIs" dxfId="1" priority="1115" operator="equal">
      <formula>"未完成"</formula>
    </cfRule>
    <cfRule type="cellIs" dxfId="0" priority="1164" operator="equal">
      <formula>"未完成"</formula>
    </cfRule>
  </conditionalFormatting>
  <conditionalFormatting sqref="AA68">
    <cfRule type="cellIs" dxfId="0" priority="1212" operator="equal">
      <formula>"未完成"</formula>
    </cfRule>
  </conditionalFormatting>
  <conditionalFormatting sqref="AD68">
    <cfRule type="cellIs" dxfId="1" priority="1114" operator="equal">
      <formula>"未完成"</formula>
    </cfRule>
    <cfRule type="cellIs" dxfId="0" priority="1163" operator="equal">
      <formula>"未完成"</formula>
    </cfRule>
  </conditionalFormatting>
  <conditionalFormatting sqref="AA69">
    <cfRule type="cellIs" dxfId="0" priority="1211" operator="equal">
      <formula>"未完成"</formula>
    </cfRule>
  </conditionalFormatting>
  <conditionalFormatting sqref="AD69">
    <cfRule type="cellIs" dxfId="1" priority="1113" operator="equal">
      <formula>"未完成"</formula>
    </cfRule>
    <cfRule type="cellIs" dxfId="0" priority="1162" operator="equal">
      <formula>"未完成"</formula>
    </cfRule>
  </conditionalFormatting>
  <conditionalFormatting sqref="AA70">
    <cfRule type="cellIs" dxfId="0" priority="1210" operator="equal">
      <formula>"未完成"</formula>
    </cfRule>
  </conditionalFormatting>
  <conditionalFormatting sqref="AD70">
    <cfRule type="cellIs" dxfId="1" priority="1112" operator="equal">
      <formula>"未完成"</formula>
    </cfRule>
    <cfRule type="cellIs" dxfId="0" priority="1161" operator="equal">
      <formula>"未完成"</formula>
    </cfRule>
  </conditionalFormatting>
  <conditionalFormatting sqref="AA71">
    <cfRule type="cellIs" dxfId="0" priority="1209" operator="equal">
      <formula>"未完成"</formula>
    </cfRule>
  </conditionalFormatting>
  <conditionalFormatting sqref="AD71">
    <cfRule type="cellIs" dxfId="1" priority="1111" operator="equal">
      <formula>"未完成"</formula>
    </cfRule>
    <cfRule type="cellIs" dxfId="0" priority="1160" operator="equal">
      <formula>"未完成"</formula>
    </cfRule>
  </conditionalFormatting>
  <conditionalFormatting sqref="AA72">
    <cfRule type="cellIs" dxfId="0" priority="1208" operator="equal">
      <formula>"未完成"</formula>
    </cfRule>
  </conditionalFormatting>
  <conditionalFormatting sqref="AD72">
    <cfRule type="cellIs" dxfId="1" priority="1110" operator="equal">
      <formula>"未完成"</formula>
    </cfRule>
    <cfRule type="cellIs" dxfId="0" priority="1159" operator="equal">
      <formula>"未完成"</formula>
    </cfRule>
  </conditionalFormatting>
  <conditionalFormatting sqref="AA73">
    <cfRule type="cellIs" dxfId="0" priority="1207" operator="equal">
      <formula>"未完成"</formula>
    </cfRule>
  </conditionalFormatting>
  <conditionalFormatting sqref="AD73">
    <cfRule type="cellIs" dxfId="1" priority="1109" operator="equal">
      <formula>"未完成"</formula>
    </cfRule>
    <cfRule type="cellIs" dxfId="0" priority="1158" operator="equal">
      <formula>"未完成"</formula>
    </cfRule>
  </conditionalFormatting>
  <conditionalFormatting sqref="AA74">
    <cfRule type="cellIs" dxfId="0" priority="1206" operator="equal">
      <formula>"未完成"</formula>
    </cfRule>
  </conditionalFormatting>
  <conditionalFormatting sqref="AD74">
    <cfRule type="cellIs" dxfId="1" priority="1108" operator="equal">
      <formula>"未完成"</formula>
    </cfRule>
    <cfRule type="cellIs" dxfId="0" priority="1157" operator="equal">
      <formula>"未完成"</formula>
    </cfRule>
  </conditionalFormatting>
  <conditionalFormatting sqref="AA75">
    <cfRule type="cellIs" dxfId="0" priority="1205" operator="equal">
      <formula>"未完成"</formula>
    </cfRule>
  </conditionalFormatting>
  <conditionalFormatting sqref="AD75">
    <cfRule type="cellIs" dxfId="1" priority="1107" operator="equal">
      <formula>"未完成"</formula>
    </cfRule>
    <cfRule type="cellIs" dxfId="0" priority="1156" operator="equal">
      <formula>"未完成"</formula>
    </cfRule>
  </conditionalFormatting>
  <conditionalFormatting sqref="AA76">
    <cfRule type="cellIs" dxfId="0" priority="1204" operator="equal">
      <formula>"未完成"</formula>
    </cfRule>
  </conditionalFormatting>
  <conditionalFormatting sqref="AD76">
    <cfRule type="cellIs" dxfId="1" priority="1106" operator="equal">
      <formula>"未完成"</formula>
    </cfRule>
    <cfRule type="cellIs" dxfId="0" priority="1155" operator="equal">
      <formula>"未完成"</formula>
    </cfRule>
  </conditionalFormatting>
  <conditionalFormatting sqref="AA77">
    <cfRule type="cellIs" dxfId="0" priority="1203" operator="equal">
      <formula>"未完成"</formula>
    </cfRule>
  </conditionalFormatting>
  <conditionalFormatting sqref="AD77">
    <cfRule type="cellIs" dxfId="1" priority="1105" operator="equal">
      <formula>"未完成"</formula>
    </cfRule>
    <cfRule type="cellIs" dxfId="0" priority="1154" operator="equal">
      <formula>"未完成"</formula>
    </cfRule>
  </conditionalFormatting>
  <conditionalFormatting sqref="AA78">
    <cfRule type="cellIs" dxfId="0" priority="1202" operator="equal">
      <formula>"未完成"</formula>
    </cfRule>
  </conditionalFormatting>
  <conditionalFormatting sqref="AD78">
    <cfRule type="cellIs" dxfId="1" priority="1104" operator="equal">
      <formula>"未完成"</formula>
    </cfRule>
    <cfRule type="cellIs" dxfId="0" priority="1153" operator="equal">
      <formula>"未完成"</formula>
    </cfRule>
  </conditionalFormatting>
  <conditionalFormatting sqref="AA79">
    <cfRule type="cellIs" dxfId="0" priority="1201" operator="equal">
      <formula>"未完成"</formula>
    </cfRule>
  </conditionalFormatting>
  <conditionalFormatting sqref="AD79">
    <cfRule type="cellIs" dxfId="1" priority="1103" operator="equal">
      <formula>"未完成"</formula>
    </cfRule>
    <cfRule type="cellIs" dxfId="0" priority="1152" operator="equal">
      <formula>"未完成"</formula>
    </cfRule>
  </conditionalFormatting>
  <conditionalFormatting sqref="AA80">
    <cfRule type="cellIs" dxfId="0" priority="1200" operator="equal">
      <formula>"未完成"</formula>
    </cfRule>
  </conditionalFormatting>
  <conditionalFormatting sqref="AD80">
    <cfRule type="cellIs" dxfId="1" priority="1102" operator="equal">
      <formula>"未完成"</formula>
    </cfRule>
    <cfRule type="cellIs" dxfId="0" priority="1151" operator="equal">
      <formula>"未完成"</formula>
    </cfRule>
  </conditionalFormatting>
  <conditionalFormatting sqref="AA81">
    <cfRule type="cellIs" dxfId="0" priority="1199" operator="equal">
      <formula>"未完成"</formula>
    </cfRule>
  </conditionalFormatting>
  <conditionalFormatting sqref="AD81">
    <cfRule type="cellIs" dxfId="1" priority="1101" operator="equal">
      <formula>"未完成"</formula>
    </cfRule>
    <cfRule type="cellIs" dxfId="0" priority="1150" operator="equal">
      <formula>"未完成"</formula>
    </cfRule>
  </conditionalFormatting>
  <conditionalFormatting sqref="AA82">
    <cfRule type="cellIs" dxfId="0" priority="1198" operator="equal">
      <formula>"未完成"</formula>
    </cfRule>
  </conditionalFormatting>
  <conditionalFormatting sqref="AD82">
    <cfRule type="cellIs" dxfId="1" priority="1100" operator="equal">
      <formula>"未完成"</formula>
    </cfRule>
    <cfRule type="cellIs" dxfId="0" priority="1149" operator="equal">
      <formula>"未完成"</formula>
    </cfRule>
  </conditionalFormatting>
  <conditionalFormatting sqref="AA83">
    <cfRule type="cellIs" dxfId="0" priority="1197" operator="equal">
      <formula>"未完成"</formula>
    </cfRule>
  </conditionalFormatting>
  <conditionalFormatting sqref="AD83">
    <cfRule type="cellIs" dxfId="1" priority="1099" operator="equal">
      <formula>"未完成"</formula>
    </cfRule>
    <cfRule type="cellIs" dxfId="0" priority="1148" operator="equal">
      <formula>"未完成"</formula>
    </cfRule>
  </conditionalFormatting>
  <conditionalFormatting sqref="AA84">
    <cfRule type="cellIs" dxfId="0" priority="1196" operator="equal">
      <formula>"未完成"</formula>
    </cfRule>
  </conditionalFormatting>
  <conditionalFormatting sqref="AD84">
    <cfRule type="cellIs" dxfId="1" priority="1098" operator="equal">
      <formula>"未完成"</formula>
    </cfRule>
    <cfRule type="cellIs" dxfId="0" priority="1147" operator="equal">
      <formula>"未完成"</formula>
    </cfRule>
  </conditionalFormatting>
  <conditionalFormatting sqref="AA85">
    <cfRule type="cellIs" dxfId="0" priority="1195" operator="equal">
      <formula>"未完成"</formula>
    </cfRule>
  </conditionalFormatting>
  <conditionalFormatting sqref="AD85">
    <cfRule type="cellIs" dxfId="1" priority="1097" operator="equal">
      <formula>"未完成"</formula>
    </cfRule>
    <cfRule type="cellIs" dxfId="0" priority="1146" operator="equal">
      <formula>"未完成"</formula>
    </cfRule>
  </conditionalFormatting>
  <conditionalFormatting sqref="AA86">
    <cfRule type="cellIs" dxfId="0" priority="1194" operator="equal">
      <formula>"未完成"</formula>
    </cfRule>
  </conditionalFormatting>
  <conditionalFormatting sqref="AD86">
    <cfRule type="cellIs" dxfId="1" priority="1096" operator="equal">
      <formula>"未完成"</formula>
    </cfRule>
    <cfRule type="cellIs" dxfId="0" priority="1145" operator="equal">
      <formula>"未完成"</formula>
    </cfRule>
  </conditionalFormatting>
  <conditionalFormatting sqref="AA87">
    <cfRule type="cellIs" dxfId="0" priority="1193" operator="equal">
      <formula>"未完成"</formula>
    </cfRule>
  </conditionalFormatting>
  <conditionalFormatting sqref="AD87">
    <cfRule type="cellIs" dxfId="1" priority="1095" operator="equal">
      <formula>"未完成"</formula>
    </cfRule>
    <cfRule type="cellIs" dxfId="0" priority="1144" operator="equal">
      <formula>"未完成"</formula>
    </cfRule>
  </conditionalFormatting>
  <conditionalFormatting sqref="AA88">
    <cfRule type="cellIs" dxfId="0" priority="1192" operator="equal">
      <formula>"未完成"</formula>
    </cfRule>
  </conditionalFormatting>
  <conditionalFormatting sqref="AD88">
    <cfRule type="cellIs" dxfId="1" priority="1094" operator="equal">
      <formula>"未完成"</formula>
    </cfRule>
    <cfRule type="cellIs" dxfId="0" priority="1143" operator="equal">
      <formula>"未完成"</formula>
    </cfRule>
  </conditionalFormatting>
  <conditionalFormatting sqref="AA89">
    <cfRule type="cellIs" dxfId="0" priority="1191" operator="equal">
      <formula>"未完成"</formula>
    </cfRule>
  </conditionalFormatting>
  <conditionalFormatting sqref="AD89">
    <cfRule type="cellIs" dxfId="1" priority="1093" operator="equal">
      <formula>"未完成"</formula>
    </cfRule>
    <cfRule type="cellIs" dxfId="0" priority="1142" operator="equal">
      <formula>"未完成"</formula>
    </cfRule>
  </conditionalFormatting>
  <conditionalFormatting sqref="AA90">
    <cfRule type="cellIs" dxfId="0" priority="1190" operator="equal">
      <formula>"未完成"</formula>
    </cfRule>
  </conditionalFormatting>
  <conditionalFormatting sqref="AD90">
    <cfRule type="cellIs" dxfId="1" priority="1092" operator="equal">
      <formula>"未完成"</formula>
    </cfRule>
    <cfRule type="cellIs" dxfId="0" priority="1141" operator="equal">
      <formula>"未完成"</formula>
    </cfRule>
  </conditionalFormatting>
  <conditionalFormatting sqref="AA91">
    <cfRule type="cellIs" dxfId="0" priority="1189" operator="equal">
      <formula>"未完成"</formula>
    </cfRule>
  </conditionalFormatting>
  <conditionalFormatting sqref="AD91">
    <cfRule type="cellIs" dxfId="1" priority="1091" operator="equal">
      <formula>"未完成"</formula>
    </cfRule>
    <cfRule type="cellIs" dxfId="0" priority="1140" operator="equal">
      <formula>"未完成"</formula>
    </cfRule>
  </conditionalFormatting>
  <conditionalFormatting sqref="AA92">
    <cfRule type="cellIs" dxfId="0" priority="1188" operator="equal">
      <formula>"未完成"</formula>
    </cfRule>
  </conditionalFormatting>
  <conditionalFormatting sqref="AD92">
    <cfRule type="cellIs" dxfId="1" priority="1090" operator="equal">
      <formula>"未完成"</formula>
    </cfRule>
    <cfRule type="cellIs" dxfId="0" priority="1139" operator="equal">
      <formula>"未完成"</formula>
    </cfRule>
  </conditionalFormatting>
  <conditionalFormatting sqref="AA93">
    <cfRule type="cellIs" dxfId="0" priority="1187" operator="equal">
      <formula>"未完成"</formula>
    </cfRule>
  </conditionalFormatting>
  <conditionalFormatting sqref="AD93">
    <cfRule type="cellIs" dxfId="1" priority="1089" operator="equal">
      <formula>"未完成"</formula>
    </cfRule>
    <cfRule type="cellIs" dxfId="0" priority="1138" operator="equal">
      <formula>"未完成"</formula>
    </cfRule>
  </conditionalFormatting>
  <conditionalFormatting sqref="AA94">
    <cfRule type="cellIs" dxfId="0" priority="1186" operator="equal">
      <formula>"未完成"</formula>
    </cfRule>
  </conditionalFormatting>
  <conditionalFormatting sqref="AD94">
    <cfRule type="cellIs" dxfId="1" priority="1088" operator="equal">
      <formula>"未完成"</formula>
    </cfRule>
    <cfRule type="cellIs" dxfId="0" priority="1137" operator="equal">
      <formula>"未完成"</formula>
    </cfRule>
  </conditionalFormatting>
  <conditionalFormatting sqref="AA95">
    <cfRule type="cellIs" dxfId="0" priority="1185" operator="equal">
      <formula>"未完成"</formula>
    </cfRule>
  </conditionalFormatting>
  <conditionalFormatting sqref="AD95">
    <cfRule type="cellIs" dxfId="1" priority="1087" operator="equal">
      <formula>"未完成"</formula>
    </cfRule>
    <cfRule type="cellIs" dxfId="0" priority="1136" operator="equal">
      <formula>"未完成"</formula>
    </cfRule>
  </conditionalFormatting>
  <conditionalFormatting sqref="AA96">
    <cfRule type="cellIs" dxfId="0" priority="1184" operator="equal">
      <formula>"未完成"</formula>
    </cfRule>
  </conditionalFormatting>
  <conditionalFormatting sqref="AD96">
    <cfRule type="cellIs" dxfId="1" priority="1086" operator="equal">
      <formula>"未完成"</formula>
    </cfRule>
    <cfRule type="cellIs" dxfId="0" priority="1135" operator="equal">
      <formula>"未完成"</formula>
    </cfRule>
  </conditionalFormatting>
  <conditionalFormatting sqref="AA97">
    <cfRule type="cellIs" dxfId="0" priority="1183" operator="equal">
      <formula>"未完成"</formula>
    </cfRule>
  </conditionalFormatting>
  <conditionalFormatting sqref="AD97">
    <cfRule type="cellIs" dxfId="1" priority="1085" operator="equal">
      <formula>"未完成"</formula>
    </cfRule>
    <cfRule type="cellIs" dxfId="0" priority="1134" operator="equal">
      <formula>"未完成"</formula>
    </cfRule>
  </conditionalFormatting>
  <conditionalFormatting sqref="AA98">
    <cfRule type="cellIs" dxfId="0" priority="1182" operator="equal">
      <formula>"未完成"</formula>
    </cfRule>
  </conditionalFormatting>
  <conditionalFormatting sqref="AD98">
    <cfRule type="cellIs" dxfId="1" priority="1084" operator="equal">
      <formula>"未完成"</formula>
    </cfRule>
    <cfRule type="cellIs" dxfId="0" priority="1133" operator="equal">
      <formula>"未完成"</formula>
    </cfRule>
  </conditionalFormatting>
  <conditionalFormatting sqref="AA99">
    <cfRule type="cellIs" dxfId="0" priority="1181" operator="equal">
      <formula>"未完成"</formula>
    </cfRule>
  </conditionalFormatting>
  <conditionalFormatting sqref="AD99">
    <cfRule type="cellIs" dxfId="1" priority="1083" operator="equal">
      <formula>"未完成"</formula>
    </cfRule>
    <cfRule type="cellIs" dxfId="0" priority="1132" operator="equal">
      <formula>"未完成"</formula>
    </cfRule>
  </conditionalFormatting>
  <conditionalFormatting sqref="AA100">
    <cfRule type="cellIs" dxfId="0" priority="1180" operator="equal">
      <formula>"未完成"</formula>
    </cfRule>
  </conditionalFormatting>
  <conditionalFormatting sqref="AD100">
    <cfRule type="cellIs" dxfId="1" priority="1082" operator="equal">
      <formula>"未完成"</formula>
    </cfRule>
    <cfRule type="cellIs" dxfId="0" priority="1131" operator="equal">
      <formula>"未完成"</formula>
    </cfRule>
  </conditionalFormatting>
  <conditionalFormatting sqref="AA101">
    <cfRule type="cellIs" dxfId="0" priority="1179" operator="equal">
      <formula>"未完成"</formula>
    </cfRule>
  </conditionalFormatting>
  <conditionalFormatting sqref="AD101">
    <cfRule type="cellIs" dxfId="1" priority="1081" operator="equal">
      <formula>"未完成"</formula>
    </cfRule>
    <cfRule type="cellIs" dxfId="0" priority="1130" operator="equal">
      <formula>"未完成"</formula>
    </cfRule>
  </conditionalFormatting>
  <conditionalFormatting sqref="AA102">
    <cfRule type="cellIs" dxfId="0" priority="1178" operator="equal">
      <formula>"未完成"</formula>
    </cfRule>
  </conditionalFormatting>
  <conditionalFormatting sqref="AD102">
    <cfRule type="cellIs" dxfId="1" priority="1080" operator="equal">
      <formula>"未完成"</formula>
    </cfRule>
    <cfRule type="cellIs" dxfId="0" priority="1129" operator="equal">
      <formula>"未完成"</formula>
    </cfRule>
  </conditionalFormatting>
  <conditionalFormatting sqref="AA103">
    <cfRule type="cellIs" dxfId="0" priority="1076" operator="equal">
      <formula>"未完成"</formula>
    </cfRule>
  </conditionalFormatting>
  <conditionalFormatting sqref="AB103:AE103">
    <cfRule type="cellIs" dxfId="1" priority="1078" operator="equal">
      <formula>"未完成"</formula>
    </cfRule>
    <cfRule type="cellIs" dxfId="0" priority="1079" operator="equal">
      <formula>"未完成"</formula>
    </cfRule>
  </conditionalFormatting>
  <conditionalFormatting sqref="AA104">
    <cfRule type="cellIs" dxfId="0" priority="1072" operator="equal">
      <formula>"未完成"</formula>
    </cfRule>
  </conditionalFormatting>
  <conditionalFormatting sqref="AB104:AE104">
    <cfRule type="cellIs" dxfId="1" priority="1074" operator="equal">
      <formula>"未完成"</formula>
    </cfRule>
    <cfRule type="cellIs" dxfId="0" priority="1075" operator="equal">
      <formula>"未完成"</formula>
    </cfRule>
  </conditionalFormatting>
  <conditionalFormatting sqref="AA105">
    <cfRule type="cellIs" dxfId="0" priority="1068" operator="equal">
      <formula>"未完成"</formula>
    </cfRule>
  </conditionalFormatting>
  <conditionalFormatting sqref="AB105:AE105">
    <cfRule type="cellIs" dxfId="1" priority="1070" operator="equal">
      <formula>"未完成"</formula>
    </cfRule>
    <cfRule type="cellIs" dxfId="0" priority="1071" operator="equal">
      <formula>"未完成"</formula>
    </cfRule>
  </conditionalFormatting>
  <conditionalFormatting sqref="AA106">
    <cfRule type="cellIs" dxfId="0" priority="1064" operator="equal">
      <formula>"未完成"</formula>
    </cfRule>
  </conditionalFormatting>
  <conditionalFormatting sqref="AB106:AE106">
    <cfRule type="cellIs" dxfId="1" priority="1066" operator="equal">
      <formula>"未完成"</formula>
    </cfRule>
    <cfRule type="cellIs" dxfId="0" priority="1067" operator="equal">
      <formula>"未完成"</formula>
    </cfRule>
  </conditionalFormatting>
  <conditionalFormatting sqref="AA107">
    <cfRule type="cellIs" dxfId="0" priority="1060" operator="equal">
      <formula>"未完成"</formula>
    </cfRule>
  </conditionalFormatting>
  <conditionalFormatting sqref="AB107:AE107">
    <cfRule type="cellIs" dxfId="1" priority="1062" operator="equal">
      <formula>"未完成"</formula>
    </cfRule>
    <cfRule type="cellIs" dxfId="0" priority="1063" operator="equal">
      <formula>"未完成"</formula>
    </cfRule>
  </conditionalFormatting>
  <conditionalFormatting sqref="AA108">
    <cfRule type="cellIs" dxfId="0" priority="1056" operator="equal">
      <formula>"未完成"</formula>
    </cfRule>
  </conditionalFormatting>
  <conditionalFormatting sqref="AB108:AE108">
    <cfRule type="cellIs" dxfId="1" priority="1058" operator="equal">
      <formula>"未完成"</formula>
    </cfRule>
    <cfRule type="cellIs" dxfId="0" priority="1059" operator="equal">
      <formula>"未完成"</formula>
    </cfRule>
  </conditionalFormatting>
  <conditionalFormatting sqref="AA109">
    <cfRule type="cellIs" dxfId="0" priority="1052" operator="equal">
      <formula>"未完成"</formula>
    </cfRule>
  </conditionalFormatting>
  <conditionalFormatting sqref="AB109:AE109">
    <cfRule type="cellIs" dxfId="1" priority="1054" operator="equal">
      <formula>"未完成"</formula>
    </cfRule>
    <cfRule type="cellIs" dxfId="0" priority="1055" operator="equal">
      <formula>"未完成"</formula>
    </cfRule>
  </conditionalFormatting>
  <conditionalFormatting sqref="S110">
    <cfRule type="cellIs" dxfId="0" priority="1047" operator="equal">
      <formula>"欠"</formula>
    </cfRule>
  </conditionalFormatting>
  <conditionalFormatting sqref="AA110">
    <cfRule type="cellIs" dxfId="0" priority="1048" operator="equal">
      <formula>"未完成"</formula>
    </cfRule>
  </conditionalFormatting>
  <conditionalFormatting sqref="AC110:AE110">
    <cfRule type="cellIs" dxfId="1" priority="1049" operator="equal">
      <formula>"未完成"</formula>
    </cfRule>
    <cfRule type="cellIs" dxfId="0" priority="1050" operator="equal">
      <formula>"未完成"</formula>
    </cfRule>
  </conditionalFormatting>
  <conditionalFormatting sqref="S111">
    <cfRule type="cellIs" dxfId="0" priority="1042" operator="equal">
      <formula>"欠"</formula>
    </cfRule>
  </conditionalFormatting>
  <conditionalFormatting sqref="AA111">
    <cfRule type="cellIs" dxfId="0" priority="1043" operator="equal">
      <formula>"未完成"</formula>
    </cfRule>
  </conditionalFormatting>
  <conditionalFormatting sqref="AC111:AE111">
    <cfRule type="cellIs" dxfId="1" priority="1044" operator="equal">
      <formula>"未完成"</formula>
    </cfRule>
    <cfRule type="cellIs" dxfId="0" priority="1045" operator="equal">
      <formula>"未完成"</formula>
    </cfRule>
  </conditionalFormatting>
  <conditionalFormatting sqref="S112">
    <cfRule type="cellIs" dxfId="0" priority="1038" operator="equal">
      <formula>"欠"</formula>
    </cfRule>
  </conditionalFormatting>
  <conditionalFormatting sqref="AA112">
    <cfRule type="cellIs" dxfId="0" priority="1037" operator="equal">
      <formula>"未完成"</formula>
    </cfRule>
    <cfRule type="cellIs" dxfId="1" priority="1036" operator="equal">
      <formula>"未完成"</formula>
    </cfRule>
  </conditionalFormatting>
  <conditionalFormatting sqref="AC112:AE112">
    <cfRule type="cellIs" dxfId="0" priority="1040" operator="equal">
      <formula>"未完成"</formula>
    </cfRule>
    <cfRule type="cellIs" dxfId="1" priority="1039" operator="equal">
      <formula>"未完成"</formula>
    </cfRule>
  </conditionalFormatting>
  <conditionalFormatting sqref="S113">
    <cfRule type="cellIs" dxfId="0" priority="1026" operator="equal">
      <formula>"欠"</formula>
    </cfRule>
  </conditionalFormatting>
  <conditionalFormatting sqref="AA113">
    <cfRule type="cellIs" dxfId="0" priority="1025" operator="equal">
      <formula>"未完成"</formula>
    </cfRule>
    <cfRule type="cellIs" dxfId="1" priority="1024" operator="equal">
      <formula>"未完成"</formula>
    </cfRule>
  </conditionalFormatting>
  <conditionalFormatting sqref="AB113">
    <cfRule type="cellIs" dxfId="0" priority="1029" operator="equal">
      <formula>"未完成"</formula>
    </cfRule>
    <cfRule type="cellIs" dxfId="1" priority="1028" operator="equal">
      <formula>"未完成"</formula>
    </cfRule>
  </conditionalFormatting>
  <conditionalFormatting sqref="AC113:AD113">
    <cfRule type="cellIs" dxfId="0" priority="1034" operator="equal">
      <formula>"未完成"</formula>
    </cfRule>
    <cfRule type="cellIs" dxfId="1" priority="1033" operator="equal">
      <formula>"未完成"</formula>
    </cfRule>
  </conditionalFormatting>
  <conditionalFormatting sqref="AE113:AF113">
    <cfRule type="cellIs" dxfId="0" priority="1032" operator="equal">
      <formula>"未完成"</formula>
    </cfRule>
    <cfRule type="cellIs" dxfId="1" priority="1031" operator="equal">
      <formula>"未完成"</formula>
    </cfRule>
  </conditionalFormatting>
  <conditionalFormatting sqref="AG113">
    <cfRule type="cellIs" dxfId="0" priority="1030" operator="equal">
      <formula>"欠"</formula>
    </cfRule>
  </conditionalFormatting>
  <conditionalFormatting sqref="AA114">
    <cfRule type="cellIs" dxfId="0" priority="1019" operator="equal">
      <formula>"未完成"</formula>
    </cfRule>
  </conditionalFormatting>
  <conditionalFormatting sqref="AB114:AE114">
    <cfRule type="cellIs" dxfId="0" priority="1022" operator="equal">
      <formula>"未完成"</formula>
    </cfRule>
    <cfRule type="cellIs" dxfId="1" priority="1021" operator="equal">
      <formula>"未完成"</formula>
    </cfRule>
  </conditionalFormatting>
  <conditionalFormatting sqref="S115">
    <cfRule type="cellIs" dxfId="0" priority="1015" operator="equal">
      <formula>"欠"</formula>
    </cfRule>
  </conditionalFormatting>
  <conditionalFormatting sqref="AB115">
    <cfRule type="cellIs" dxfId="0" priority="1014" operator="equal">
      <formula>"未完成"</formula>
    </cfRule>
    <cfRule type="cellIs" dxfId="1" priority="1013" operator="equal">
      <formula>"未完成"</formula>
    </cfRule>
  </conditionalFormatting>
  <conditionalFormatting sqref="AD115:AG115">
    <cfRule type="cellIs" dxfId="0" priority="1017" operator="equal">
      <formula>"未完成"</formula>
    </cfRule>
    <cfRule type="cellIs" dxfId="1" priority="1016" operator="equal">
      <formula>"未完成"</formula>
    </cfRule>
  </conditionalFormatting>
  <conditionalFormatting sqref="R116">
    <cfRule type="cellIs" dxfId="0" priority="999" operator="equal">
      <formula>"欠"</formula>
    </cfRule>
  </conditionalFormatting>
  <conditionalFormatting sqref="S116">
    <cfRule type="cellIs" dxfId="0" priority="1001" operator="equal">
      <formula>"欠"</formula>
    </cfRule>
  </conditionalFormatting>
  <conditionalFormatting sqref="T116">
    <cfRule type="cellIs" dxfId="0" priority="1000" operator="equal">
      <formula>"欠"</formula>
    </cfRule>
  </conditionalFormatting>
  <conditionalFormatting sqref="AB116">
    <cfRule type="cellIs" dxfId="0" priority="1002" operator="equal">
      <formula>"未完成"</formula>
    </cfRule>
    <cfRule type="cellIs" dxfId="1" priority="1003" operator="equal">
      <formula>"未完成"</formula>
    </cfRule>
  </conditionalFormatting>
  <conditionalFormatting sqref="AC116">
    <cfRule type="cellIs" dxfId="1" priority="1005" operator="equal">
      <formula>"未完成"</formula>
    </cfRule>
    <cfRule type="cellIs" dxfId="0" priority="1006" operator="equal">
      <formula>"未完成"</formula>
    </cfRule>
  </conditionalFormatting>
  <conditionalFormatting sqref="AD116:AE116">
    <cfRule type="cellIs" dxfId="1" priority="1010" operator="equal">
      <formula>"未完成"</formula>
    </cfRule>
    <cfRule type="cellIs" dxfId="0" priority="1011" operator="equal">
      <formula>"未完成"</formula>
    </cfRule>
  </conditionalFormatting>
  <conditionalFormatting sqref="AF116:AG116">
    <cfRule type="cellIs" dxfId="1" priority="1008" operator="equal">
      <formula>"未完成"</formula>
    </cfRule>
    <cfRule type="cellIs" dxfId="0" priority="1009" operator="equal">
      <formula>"未完成"</formula>
    </cfRule>
  </conditionalFormatting>
  <conditionalFormatting sqref="AH116">
    <cfRule type="cellIs" dxfId="0" priority="1007" operator="equal">
      <formula>"欠"</formula>
    </cfRule>
  </conditionalFormatting>
  <conditionalFormatting sqref="R117">
    <cfRule type="cellIs" dxfId="0" priority="986" operator="equal">
      <formula>"欠"</formula>
    </cfRule>
  </conditionalFormatting>
  <conditionalFormatting sqref="S117">
    <cfRule type="cellIs" dxfId="0" priority="988" operator="equal">
      <formula>"欠"</formula>
    </cfRule>
  </conditionalFormatting>
  <conditionalFormatting sqref="T117">
    <cfRule type="cellIs" dxfId="0" priority="987" operator="equal">
      <formula>"欠"</formula>
    </cfRule>
  </conditionalFormatting>
  <conditionalFormatting sqref="S118">
    <cfRule type="cellIs" dxfId="0" priority="985" operator="equal">
      <formula>"欠"</formula>
    </cfRule>
  </conditionalFormatting>
  <conditionalFormatting sqref="T118">
    <cfRule type="cellIs" dxfId="0" priority="984" operator="equal">
      <formula>"欠"</formula>
    </cfRule>
  </conditionalFormatting>
  <conditionalFormatting sqref="S119">
    <cfRule type="cellIs" dxfId="0" priority="983" operator="equal">
      <formula>"欠"</formula>
    </cfRule>
  </conditionalFormatting>
  <conditionalFormatting sqref="T119">
    <cfRule type="cellIs" dxfId="0" priority="981" operator="equal">
      <formula>"欠"</formula>
    </cfRule>
  </conditionalFormatting>
  <conditionalFormatting sqref="S120">
    <cfRule type="cellIs" dxfId="0" priority="982" operator="equal">
      <formula>"欠"</formula>
    </cfRule>
  </conditionalFormatting>
  <conditionalFormatting sqref="T120">
    <cfRule type="cellIs" dxfId="0" priority="980" operator="equal">
      <formula>"欠"</formula>
    </cfRule>
  </conditionalFormatting>
  <conditionalFormatting sqref="S121">
    <cfRule type="cellIs" dxfId="0" priority="970" operator="equal">
      <formula>"欠"</formula>
    </cfRule>
  </conditionalFormatting>
  <conditionalFormatting sqref="AB121">
    <cfRule type="cellIs" dxfId="0" priority="967" operator="equal">
      <formula>"未完成"</formula>
    </cfRule>
    <cfRule type="cellIs" dxfId="1" priority="968" operator="equal">
      <formula>"未完成"</formula>
    </cfRule>
  </conditionalFormatting>
  <conditionalFormatting sqref="AC121">
    <cfRule type="cellIs" dxfId="1" priority="972" operator="equal">
      <formula>"未完成"</formula>
    </cfRule>
    <cfRule type="cellIs" dxfId="0" priority="973" operator="equal">
      <formula>"未完成"</formula>
    </cfRule>
  </conditionalFormatting>
  <conditionalFormatting sqref="AD121:AE121">
    <cfRule type="cellIs" dxfId="1" priority="977" operator="equal">
      <formula>"未完成"</formula>
    </cfRule>
    <cfRule type="cellIs" dxfId="0" priority="978" operator="equal">
      <formula>"未完成"</formula>
    </cfRule>
  </conditionalFormatting>
  <conditionalFormatting sqref="AF121:AG121">
    <cfRule type="cellIs" dxfId="1" priority="975" operator="equal">
      <formula>"未完成"</formula>
    </cfRule>
    <cfRule type="cellIs" dxfId="0" priority="976" operator="equal">
      <formula>"未完成"</formula>
    </cfRule>
  </conditionalFormatting>
  <conditionalFormatting sqref="AH121">
    <cfRule type="cellIs" dxfId="0" priority="974" operator="equal">
      <formula>"欠"</formula>
    </cfRule>
  </conditionalFormatting>
  <conditionalFormatting sqref="R122">
    <cfRule type="cellIs" dxfId="0" priority="959" operator="equal">
      <formula>"欠"</formula>
    </cfRule>
  </conditionalFormatting>
  <conditionalFormatting sqref="S122">
    <cfRule type="cellIs" dxfId="0" priority="954" operator="equal">
      <formula>"欠"</formula>
    </cfRule>
  </conditionalFormatting>
  <conditionalFormatting sqref="T122">
    <cfRule type="cellIs" dxfId="0" priority="955" operator="equal">
      <formula>"欠"</formula>
    </cfRule>
  </conditionalFormatting>
  <conditionalFormatting sqref="AB122">
    <cfRule type="cellIs" dxfId="0" priority="956" operator="equal">
      <formula>"未完成"</formula>
    </cfRule>
    <cfRule type="cellIs" dxfId="1" priority="957" operator="equal">
      <formula>"未完成"</formula>
    </cfRule>
  </conditionalFormatting>
  <conditionalFormatting sqref="AC122">
    <cfRule type="cellIs" dxfId="1" priority="960" operator="equal">
      <formula>"未完成"</formula>
    </cfRule>
    <cfRule type="cellIs" dxfId="0" priority="961" operator="equal">
      <formula>"未完成"</formula>
    </cfRule>
  </conditionalFormatting>
  <conditionalFormatting sqref="AD122:AE122">
    <cfRule type="cellIs" dxfId="1" priority="965" operator="equal">
      <formula>"未完成"</formula>
    </cfRule>
    <cfRule type="cellIs" dxfId="0" priority="966" operator="equal">
      <formula>"未完成"</formula>
    </cfRule>
  </conditionalFormatting>
  <conditionalFormatting sqref="AF122:AG122">
    <cfRule type="cellIs" dxfId="1" priority="963" operator="equal">
      <formula>"未完成"</formula>
    </cfRule>
    <cfRule type="cellIs" dxfId="0" priority="964" operator="equal">
      <formula>"未完成"</formula>
    </cfRule>
  </conditionalFormatting>
  <conditionalFormatting sqref="AH122">
    <cfRule type="cellIs" dxfId="0" priority="962" operator="equal">
      <formula>"欠"</formula>
    </cfRule>
  </conditionalFormatting>
  <conditionalFormatting sqref="S123">
    <cfRule type="cellIs" dxfId="0" priority="945" operator="equal">
      <formula>"欠"</formula>
    </cfRule>
  </conditionalFormatting>
  <conditionalFormatting sqref="AB123">
    <cfRule type="cellIs" dxfId="0" priority="944" operator="equal">
      <formula>"未完成"</formula>
    </cfRule>
    <cfRule type="cellIs" dxfId="1" priority="943" operator="equal">
      <formula>"未完成"</formula>
    </cfRule>
  </conditionalFormatting>
  <conditionalFormatting sqref="AC123">
    <cfRule type="cellIs" dxfId="0" priority="948" operator="equal">
      <formula>"未完成"</formula>
    </cfRule>
    <cfRule type="cellIs" dxfId="1" priority="947" operator="equal">
      <formula>"未完成"</formula>
    </cfRule>
  </conditionalFormatting>
  <conditionalFormatting sqref="AD123:AE123">
    <cfRule type="cellIs" dxfId="0" priority="953" operator="equal">
      <formula>"未完成"</formula>
    </cfRule>
    <cfRule type="cellIs" dxfId="1" priority="952" operator="equal">
      <formula>"未完成"</formula>
    </cfRule>
  </conditionalFormatting>
  <conditionalFormatting sqref="AF123:AG123">
    <cfRule type="cellIs" dxfId="0" priority="951" operator="equal">
      <formula>"未完成"</formula>
    </cfRule>
    <cfRule type="cellIs" dxfId="1" priority="950" operator="equal">
      <formula>"未完成"</formula>
    </cfRule>
  </conditionalFormatting>
  <conditionalFormatting sqref="AH123">
    <cfRule type="cellIs" dxfId="0" priority="949" operator="equal">
      <formula>"欠"</formula>
    </cfRule>
  </conditionalFormatting>
  <conditionalFormatting sqref="S124">
    <cfRule type="cellIs" dxfId="0" priority="930" operator="equal">
      <formula>"欠"</formula>
    </cfRule>
  </conditionalFormatting>
  <conditionalFormatting sqref="AB124">
    <cfRule type="cellIs" dxfId="0" priority="934" operator="equal">
      <formula>"未完成"</formula>
    </cfRule>
    <cfRule type="cellIs" dxfId="1" priority="933" operator="equal">
      <formula>"未完成"</formula>
    </cfRule>
  </conditionalFormatting>
  <conditionalFormatting sqref="AC124">
    <cfRule type="cellIs" dxfId="0" priority="936" operator="equal">
      <formula>"未完成"</formula>
    </cfRule>
    <cfRule type="cellIs" dxfId="1" priority="935" operator="equal">
      <formula>"未完成"</formula>
    </cfRule>
  </conditionalFormatting>
  <conditionalFormatting sqref="AD124:AE124">
    <cfRule type="cellIs" dxfId="0" priority="941" operator="equal">
      <formula>"未完成"</formula>
    </cfRule>
    <cfRule type="cellIs" dxfId="1" priority="940" operator="equal">
      <formula>"未完成"</formula>
    </cfRule>
  </conditionalFormatting>
  <conditionalFormatting sqref="AF124:AG124">
    <cfRule type="cellIs" dxfId="0" priority="939" operator="equal">
      <formula>"未完成"</formula>
    </cfRule>
    <cfRule type="cellIs" dxfId="1" priority="938" operator="equal">
      <formula>"未完成"</formula>
    </cfRule>
  </conditionalFormatting>
  <conditionalFormatting sqref="AH124">
    <cfRule type="cellIs" dxfId="0" priority="937" operator="equal">
      <formula>"欠"</formula>
    </cfRule>
  </conditionalFormatting>
  <conditionalFormatting sqref="R125">
    <cfRule type="cellIs" dxfId="0" priority="918" operator="equal">
      <formula>"欠"</formula>
    </cfRule>
  </conditionalFormatting>
  <conditionalFormatting sqref="S125">
    <cfRule type="cellIs" dxfId="0" priority="920" operator="equal">
      <formula>"欠"</formula>
    </cfRule>
  </conditionalFormatting>
  <conditionalFormatting sqref="T125">
    <cfRule type="cellIs" dxfId="0" priority="919" operator="equal">
      <formula>"欠"</formula>
    </cfRule>
  </conditionalFormatting>
  <conditionalFormatting sqref="AB125">
    <cfRule type="cellIs" dxfId="0" priority="923" operator="equal">
      <formula>"未完成"</formula>
    </cfRule>
    <cfRule type="cellIs" dxfId="1" priority="922" operator="equal">
      <formula>"未完成"</formula>
    </cfRule>
  </conditionalFormatting>
  <conditionalFormatting sqref="AC125">
    <cfRule type="cellIs" dxfId="0" priority="925" operator="equal">
      <formula>"未完成"</formula>
    </cfRule>
    <cfRule type="cellIs" dxfId="1" priority="924" operator="equal">
      <formula>"未完成"</formula>
    </cfRule>
  </conditionalFormatting>
  <conditionalFormatting sqref="AD125:AE125">
    <cfRule type="cellIs" dxfId="0" priority="929" operator="equal">
      <formula>"未完成"</formula>
    </cfRule>
    <cfRule type="cellIs" dxfId="1" priority="928" operator="equal">
      <formula>"未完成"</formula>
    </cfRule>
  </conditionalFormatting>
  <conditionalFormatting sqref="AF125:AG125">
    <cfRule type="cellIs" dxfId="0" priority="927" operator="equal">
      <formula>"未完成"</formula>
    </cfRule>
    <cfRule type="cellIs" dxfId="1" priority="926" operator="equal">
      <formula>"未完成"</formula>
    </cfRule>
  </conditionalFormatting>
  <conditionalFormatting sqref="R126">
    <cfRule type="cellIs" dxfId="0" priority="908" operator="equal">
      <formula>"欠"</formula>
    </cfRule>
  </conditionalFormatting>
  <conditionalFormatting sqref="S126">
    <cfRule type="cellIs" dxfId="0" priority="907" operator="equal">
      <formula>"欠"</formula>
    </cfRule>
  </conditionalFormatting>
  <conditionalFormatting sqref="T126">
    <cfRule type="cellIs" dxfId="0" priority="906" operator="equal">
      <formula>"欠"</formula>
    </cfRule>
  </conditionalFormatting>
  <conditionalFormatting sqref="AB126">
    <cfRule type="cellIs" dxfId="0" priority="909" operator="equal">
      <formula>"未完成"</formula>
    </cfRule>
    <cfRule type="cellIs" dxfId="1" priority="910" operator="equal">
      <formula>"未完成"</formula>
    </cfRule>
  </conditionalFormatting>
  <conditionalFormatting sqref="AC126">
    <cfRule type="cellIs" dxfId="1" priority="912" operator="equal">
      <formula>"未完成"</formula>
    </cfRule>
    <cfRule type="cellIs" dxfId="0" priority="913" operator="equal">
      <formula>"未完成"</formula>
    </cfRule>
  </conditionalFormatting>
  <conditionalFormatting sqref="AD126:AE126">
    <cfRule type="cellIs" dxfId="1" priority="916" operator="equal">
      <formula>"未完成"</formula>
    </cfRule>
    <cfRule type="cellIs" dxfId="0" priority="917" operator="equal">
      <formula>"未完成"</formula>
    </cfRule>
  </conditionalFormatting>
  <conditionalFormatting sqref="AF126:AG126">
    <cfRule type="cellIs" dxfId="1" priority="914" operator="equal">
      <formula>"未完成"</formula>
    </cfRule>
    <cfRule type="cellIs" dxfId="0" priority="915" operator="equal">
      <formula>"未完成"</formula>
    </cfRule>
  </conditionalFormatting>
  <conditionalFormatting sqref="S129">
    <cfRule type="cellIs" dxfId="0" priority="883" operator="equal">
      <formula>"欠"</formula>
    </cfRule>
  </conditionalFormatting>
  <conditionalFormatting sqref="AB129">
    <cfRule type="cellIs" dxfId="0" priority="887" operator="equal">
      <formula>"未完成"</formula>
    </cfRule>
    <cfRule type="cellIs" dxfId="1" priority="886" operator="equal">
      <formula>"未完成"</formula>
    </cfRule>
  </conditionalFormatting>
  <conditionalFormatting sqref="R130:T130">
    <cfRule type="cellIs" dxfId="0" priority="880" operator="equal">
      <formula>"欠"</formula>
    </cfRule>
  </conditionalFormatting>
  <conditionalFormatting sqref="AB130">
    <cfRule type="cellIs" dxfId="0" priority="879" operator="equal">
      <formula>"未完成"</formula>
    </cfRule>
    <cfRule type="cellIs" dxfId="1" priority="878" operator="equal">
      <formula>"未完成"</formula>
    </cfRule>
  </conditionalFormatting>
  <conditionalFormatting sqref="AD130">
    <cfRule type="cellIs" dxfId="0" priority="882" operator="equal">
      <formula>"未完成"</formula>
    </cfRule>
    <cfRule type="cellIs" dxfId="1" priority="881" operator="equal">
      <formula>"未完成"</formula>
    </cfRule>
  </conditionalFormatting>
  <conditionalFormatting sqref="R131:T131">
    <cfRule type="cellIs" dxfId="0" priority="869" operator="equal">
      <formula>"欠"</formula>
    </cfRule>
  </conditionalFormatting>
  <conditionalFormatting sqref="AB131">
    <cfRule type="cellIs" dxfId="0" priority="868" operator="equal">
      <formula>"未完成"</formula>
    </cfRule>
    <cfRule type="cellIs" dxfId="1" priority="867" operator="equal">
      <formula>"未完成"</formula>
    </cfRule>
  </conditionalFormatting>
  <conditionalFormatting sqref="AC131">
    <cfRule type="cellIs" dxfId="0" priority="871" operator="equal">
      <formula>"未完成"</formula>
    </cfRule>
    <cfRule type="cellIs" dxfId="1" priority="870" operator="equal">
      <formula>"未完成"</formula>
    </cfRule>
  </conditionalFormatting>
  <conditionalFormatting sqref="AD131:AE131">
    <cfRule type="cellIs" dxfId="0" priority="876" operator="equal">
      <formula>"未完成"</formula>
    </cfRule>
    <cfRule type="cellIs" dxfId="1" priority="875" operator="equal">
      <formula>"未完成"</formula>
    </cfRule>
  </conditionalFormatting>
  <conditionalFormatting sqref="AF131:AG131">
    <cfRule type="cellIs" dxfId="0" priority="874" operator="equal">
      <formula>"未完成"</formula>
    </cfRule>
    <cfRule type="cellIs" dxfId="1" priority="873" operator="equal">
      <formula>"未完成"</formula>
    </cfRule>
  </conditionalFormatting>
  <conditionalFormatting sqref="AH131">
    <cfRule type="cellIs" dxfId="0" priority="872" operator="equal">
      <formula>"欠"</formula>
    </cfRule>
  </conditionalFormatting>
  <conditionalFormatting sqref="R132:T132">
    <cfRule type="cellIs" dxfId="0" priority="842" operator="equal">
      <formula>"欠"</formula>
    </cfRule>
  </conditionalFormatting>
  <conditionalFormatting sqref="AB132">
    <cfRule type="cellIs" dxfId="0" priority="843" operator="equal">
      <formula>"未完成"</formula>
    </cfRule>
    <cfRule type="cellIs" dxfId="1" priority="844" operator="equal">
      <formula>"未完成"</formula>
    </cfRule>
  </conditionalFormatting>
  <conditionalFormatting sqref="AC132">
    <cfRule type="cellIs" dxfId="1" priority="846" operator="equal">
      <formula>"未完成"</formula>
    </cfRule>
    <cfRule type="cellIs" dxfId="0" priority="847" operator="equal">
      <formula>"未完成"</formula>
    </cfRule>
  </conditionalFormatting>
  <conditionalFormatting sqref="AD132:AE132">
    <cfRule type="cellIs" dxfId="1" priority="850" operator="equal">
      <formula>"未完成"</formula>
    </cfRule>
    <cfRule type="cellIs" dxfId="0" priority="851" operator="equal">
      <formula>"未完成"</formula>
    </cfRule>
  </conditionalFormatting>
  <conditionalFormatting sqref="AF132:AG132">
    <cfRule type="cellIs" dxfId="1" priority="848" operator="equal">
      <formula>"未完成"</formula>
    </cfRule>
    <cfRule type="cellIs" dxfId="0" priority="849" operator="equal">
      <formula>"未完成"</formula>
    </cfRule>
  </conditionalFormatting>
  <conditionalFormatting sqref="S133">
    <cfRule type="cellIs" dxfId="0" priority="836" operator="equal">
      <formula>"欠"</formula>
    </cfRule>
  </conditionalFormatting>
  <conditionalFormatting sqref="AB133">
    <cfRule type="cellIs" dxfId="0" priority="838" operator="equal">
      <formula>"未完成"</formula>
    </cfRule>
  </conditionalFormatting>
  <conditionalFormatting sqref="AF133:AG133">
    <cfRule type="cellIs" dxfId="1" priority="840" operator="equal">
      <formula>"未完成"</formula>
    </cfRule>
    <cfRule type="cellIs" dxfId="0" priority="841" operator="equal">
      <formula>"未完成"</formula>
    </cfRule>
  </conditionalFormatting>
  <conditionalFormatting sqref="AH133">
    <cfRule type="cellIs" dxfId="0" priority="839" operator="equal">
      <formula>"欠"</formula>
    </cfRule>
  </conditionalFormatting>
  <conditionalFormatting sqref="R134">
    <cfRule type="cellIs" dxfId="0" priority="823" operator="equal">
      <formula>"欠"</formula>
    </cfRule>
  </conditionalFormatting>
  <conditionalFormatting sqref="S134:T134">
    <cfRule type="cellIs" dxfId="0" priority="826" operator="equal">
      <formula>"欠"</formula>
    </cfRule>
  </conditionalFormatting>
  <conditionalFormatting sqref="AB134">
    <cfRule type="cellIs" dxfId="0" priority="827" operator="equal">
      <formula>"未完成"</formula>
    </cfRule>
    <cfRule type="cellIs" dxfId="1" priority="828" operator="equal">
      <formula>"未完成"</formula>
    </cfRule>
  </conditionalFormatting>
  <conditionalFormatting sqref="AC134">
    <cfRule type="cellIs" dxfId="1" priority="830" operator="equal">
      <formula>"未完成"</formula>
    </cfRule>
    <cfRule type="cellIs" dxfId="0" priority="831" operator="equal">
      <formula>"未完成"</formula>
    </cfRule>
  </conditionalFormatting>
  <conditionalFormatting sqref="AD134:AE134">
    <cfRule type="cellIs" dxfId="1" priority="834" operator="equal">
      <formula>"未完成"</formula>
    </cfRule>
    <cfRule type="cellIs" dxfId="0" priority="835" operator="equal">
      <formula>"未完成"</formula>
    </cfRule>
  </conditionalFormatting>
  <conditionalFormatting sqref="AF134">
    <cfRule type="cellIs" dxfId="1" priority="824" operator="equal">
      <formula>"未完成"</formula>
    </cfRule>
    <cfRule type="cellIs" dxfId="0" priority="825" operator="equal">
      <formula>"未完成"</formula>
    </cfRule>
  </conditionalFormatting>
  <conditionalFormatting sqref="AG134">
    <cfRule type="cellIs" dxfId="1" priority="832" operator="equal">
      <formula>"未完成"</formula>
    </cfRule>
    <cfRule type="cellIs" dxfId="0" priority="833" operator="equal">
      <formula>"未完成"</formula>
    </cfRule>
  </conditionalFormatting>
  <conditionalFormatting sqref="S135">
    <cfRule type="cellIs" dxfId="0" priority="814" operator="equal">
      <formula>"欠"</formula>
    </cfRule>
  </conditionalFormatting>
  <conditionalFormatting sqref="AB135">
    <cfRule type="cellIs" dxfId="0" priority="811" operator="equal">
      <formula>"未完成"</formula>
    </cfRule>
    <cfRule type="cellIs" dxfId="1" priority="812" operator="equal">
      <formula>"未完成"</formula>
    </cfRule>
  </conditionalFormatting>
  <conditionalFormatting sqref="AC135">
    <cfRule type="cellIs" dxfId="1" priority="816" operator="equal">
      <formula>"未完成"</formula>
    </cfRule>
    <cfRule type="cellIs" dxfId="0" priority="817" operator="equal">
      <formula>"未完成"</formula>
    </cfRule>
  </conditionalFormatting>
  <conditionalFormatting sqref="AD135:AE135">
    <cfRule type="cellIs" dxfId="1" priority="821" operator="equal">
      <formula>"未完成"</formula>
    </cfRule>
    <cfRule type="cellIs" dxfId="0" priority="822" operator="equal">
      <formula>"未完成"</formula>
    </cfRule>
  </conditionalFormatting>
  <conditionalFormatting sqref="AF135:AG135">
    <cfRule type="cellIs" dxfId="1" priority="819" operator="equal">
      <formula>"未完成"</formula>
    </cfRule>
    <cfRule type="cellIs" dxfId="0" priority="820" operator="equal">
      <formula>"未完成"</formula>
    </cfRule>
  </conditionalFormatting>
  <conditionalFormatting sqref="AH135">
    <cfRule type="cellIs" dxfId="0" priority="818" operator="equal">
      <formula>"欠"</formula>
    </cfRule>
  </conditionalFormatting>
  <conditionalFormatting sqref="S136">
    <cfRule type="cellIs" dxfId="0" priority="782" operator="equal">
      <formula>"欠"</formula>
    </cfRule>
  </conditionalFormatting>
  <conditionalFormatting sqref="AB136">
    <cfRule type="cellIs" dxfId="0" priority="789" operator="equal">
      <formula>"未完成"</formula>
    </cfRule>
    <cfRule type="cellIs" dxfId="1" priority="791" operator="equal">
      <formula>"未完成"</formula>
    </cfRule>
  </conditionalFormatting>
  <conditionalFormatting sqref="AC136">
    <cfRule type="cellIs" dxfId="1" priority="795" operator="equal">
      <formula>"未完成"</formula>
    </cfRule>
    <cfRule type="cellIs" dxfId="0" priority="797" operator="equal">
      <formula>"未完成"</formula>
    </cfRule>
  </conditionalFormatting>
  <conditionalFormatting sqref="AD136:AE136">
    <cfRule type="cellIs" dxfId="1" priority="803" operator="equal">
      <formula>"未完成"</formula>
    </cfRule>
    <cfRule type="cellIs" dxfId="0" priority="805" operator="equal">
      <formula>"未完成"</formula>
    </cfRule>
  </conditionalFormatting>
  <conditionalFormatting sqref="AF136:AG136">
    <cfRule type="cellIs" dxfId="1" priority="799" operator="equal">
      <formula>"未完成"</formula>
    </cfRule>
    <cfRule type="cellIs" dxfId="0" priority="801" operator="equal">
      <formula>"未完成"</formula>
    </cfRule>
  </conditionalFormatting>
  <conditionalFormatting sqref="R139:S139">
    <cfRule type="cellIs" dxfId="0" priority="781" operator="equal">
      <formula>"欠"</formula>
    </cfRule>
  </conditionalFormatting>
  <conditionalFormatting sqref="T139">
    <cfRule type="cellIs" dxfId="0" priority="780" operator="equal">
      <formula>"欠"</formula>
    </cfRule>
  </conditionalFormatting>
  <conditionalFormatting sqref="R140:S140">
    <cfRule type="cellIs" dxfId="0" priority="779" operator="equal">
      <formula>"欠"</formula>
    </cfRule>
  </conditionalFormatting>
  <conditionalFormatting sqref="T140">
    <cfRule type="cellIs" dxfId="0" priority="778" operator="equal">
      <formula>"欠"</formula>
    </cfRule>
  </conditionalFormatting>
  <conditionalFormatting sqref="R141:T141">
    <cfRule type="cellIs" dxfId="0" priority="768" operator="equal">
      <formula>"欠"</formula>
    </cfRule>
  </conditionalFormatting>
  <conditionalFormatting sqref="AB141">
    <cfRule type="cellIs" dxfId="0" priority="769" operator="equal">
      <formula>"未完成"</formula>
    </cfRule>
    <cfRule type="cellIs" dxfId="1" priority="770" operator="equal">
      <formula>"未完成"</formula>
    </cfRule>
  </conditionalFormatting>
  <conditionalFormatting sqref="AC141">
    <cfRule type="cellIs" dxfId="1" priority="772" operator="equal">
      <formula>"未完成"</formula>
    </cfRule>
    <cfRule type="cellIs" dxfId="0" priority="773" operator="equal">
      <formula>"未完成"</formula>
    </cfRule>
  </conditionalFormatting>
  <conditionalFormatting sqref="AD141:AE141">
    <cfRule type="cellIs" dxfId="1" priority="776" operator="equal">
      <formula>"未完成"</formula>
    </cfRule>
    <cfRule type="cellIs" dxfId="0" priority="777" operator="equal">
      <formula>"未完成"</formula>
    </cfRule>
  </conditionalFormatting>
  <conditionalFormatting sqref="AF141:AG141">
    <cfRule type="cellIs" dxfId="1" priority="774" operator="equal">
      <formula>"未完成"</formula>
    </cfRule>
    <cfRule type="cellIs" dxfId="0" priority="775" operator="equal">
      <formula>"未完成"</formula>
    </cfRule>
  </conditionalFormatting>
  <conditionalFormatting sqref="R142:S142">
    <cfRule type="cellIs" dxfId="0" priority="763" operator="equal">
      <formula>"欠"</formula>
    </cfRule>
  </conditionalFormatting>
  <conditionalFormatting sqref="T142">
    <cfRule type="cellIs" dxfId="0" priority="760" operator="equal">
      <formula>"欠"</formula>
    </cfRule>
  </conditionalFormatting>
  <conditionalFormatting sqref="R143:S143">
    <cfRule type="cellIs" dxfId="0" priority="762" operator="equal">
      <formula>"欠"</formula>
    </cfRule>
  </conditionalFormatting>
  <conditionalFormatting sqref="T143">
    <cfRule type="cellIs" dxfId="0" priority="759" operator="equal">
      <formula>"欠"</formula>
    </cfRule>
  </conditionalFormatting>
  <conditionalFormatting sqref="R144:S144">
    <cfRule type="cellIs" dxfId="0" priority="761" operator="equal">
      <formula>"欠"</formula>
    </cfRule>
  </conditionalFormatting>
  <conditionalFormatting sqref="T144">
    <cfRule type="cellIs" dxfId="0" priority="758" operator="equal">
      <formula>"欠"</formula>
    </cfRule>
  </conditionalFormatting>
  <conditionalFormatting sqref="R145:S145">
    <cfRule type="cellIs" dxfId="0" priority="753" operator="equal">
      <formula>"欠"</formula>
    </cfRule>
  </conditionalFormatting>
  <conditionalFormatting sqref="T145">
    <cfRule type="cellIs" dxfId="0" priority="752" operator="equal">
      <formula>"欠"</formula>
    </cfRule>
  </conditionalFormatting>
  <conditionalFormatting sqref="AB145">
    <cfRule type="cellIs" dxfId="0" priority="754" operator="equal">
      <formula>"未完成"</formula>
    </cfRule>
  </conditionalFormatting>
  <conditionalFormatting sqref="AF145:AG145">
    <cfRule type="cellIs" dxfId="1" priority="756" operator="equal">
      <formula>"未完成"</formula>
    </cfRule>
    <cfRule type="cellIs" dxfId="0" priority="757" operator="equal">
      <formula>"未完成"</formula>
    </cfRule>
  </conditionalFormatting>
  <conditionalFormatting sqref="AH145">
    <cfRule type="cellIs" dxfId="0" priority="755" operator="equal">
      <formula>"欠"</formula>
    </cfRule>
  </conditionalFormatting>
  <conditionalFormatting sqref="R146:S146">
    <cfRule type="cellIs" dxfId="0" priority="747" operator="equal">
      <formula>"欠"</formula>
    </cfRule>
  </conditionalFormatting>
  <conditionalFormatting sqref="T146">
    <cfRule type="cellIs" dxfId="0" priority="746" operator="equal">
      <formula>"欠"</formula>
    </cfRule>
  </conditionalFormatting>
  <conditionalFormatting sqref="AB146">
    <cfRule type="cellIs" dxfId="0" priority="748" operator="equal">
      <formula>"未完成"</formula>
    </cfRule>
  </conditionalFormatting>
  <conditionalFormatting sqref="AF146:AG146">
    <cfRule type="cellIs" dxfId="1" priority="750" operator="equal">
      <formula>"未完成"</formula>
    </cfRule>
    <cfRule type="cellIs" dxfId="0" priority="751" operator="equal">
      <formula>"未完成"</formula>
    </cfRule>
  </conditionalFormatting>
  <conditionalFormatting sqref="AH146">
    <cfRule type="cellIs" dxfId="0" priority="749" operator="equal">
      <formula>"欠"</formula>
    </cfRule>
  </conditionalFormatting>
  <conditionalFormatting sqref="S147">
    <cfRule type="cellIs" dxfId="0" priority="740" operator="equal">
      <formula>"欠"</formula>
    </cfRule>
  </conditionalFormatting>
  <conditionalFormatting sqref="AB147">
    <cfRule type="cellIs" dxfId="0" priority="742" operator="equal">
      <formula>"未完成"</formula>
    </cfRule>
  </conditionalFormatting>
  <conditionalFormatting sqref="AF147">
    <cfRule type="cellIs" dxfId="0" priority="743" operator="equal">
      <formula>"欠"</formula>
    </cfRule>
  </conditionalFormatting>
  <conditionalFormatting sqref="R148:S148">
    <cfRule type="cellIs" dxfId="0" priority="735" operator="equal">
      <formula>"欠"</formula>
    </cfRule>
  </conditionalFormatting>
  <conditionalFormatting sqref="T148">
    <cfRule type="cellIs" dxfId="0" priority="734" operator="equal">
      <formula>"欠"</formula>
    </cfRule>
  </conditionalFormatting>
  <conditionalFormatting sqref="R149:S149">
    <cfRule type="cellIs" dxfId="0" priority="733" operator="equal">
      <formula>"欠"</formula>
    </cfRule>
  </conditionalFormatting>
  <conditionalFormatting sqref="R150:S150">
    <cfRule type="cellIs" dxfId="0" priority="732" operator="equal">
      <formula>"欠"</formula>
    </cfRule>
  </conditionalFormatting>
  <conditionalFormatting sqref="R151:S151">
    <cfRule type="cellIs" dxfId="0" priority="731" operator="equal">
      <formula>"欠"</formula>
    </cfRule>
  </conditionalFormatting>
  <conditionalFormatting sqref="R152:S152">
    <cfRule type="cellIs" dxfId="0" priority="713" operator="equal">
      <formula>"欠"</formula>
    </cfRule>
  </conditionalFormatting>
  <conditionalFormatting sqref="T152">
    <cfRule type="cellIs" dxfId="0" priority="709" operator="equal">
      <formula>"欠"</formula>
    </cfRule>
  </conditionalFormatting>
  <conditionalFormatting sqref="AB152">
    <cfRule type="cellIs" dxfId="0" priority="717" operator="equal">
      <formula>"未完成"</formula>
    </cfRule>
  </conditionalFormatting>
  <conditionalFormatting sqref="AF152:AG152">
    <cfRule type="cellIs" dxfId="1" priority="725" operator="equal">
      <formula>"未完成"</formula>
    </cfRule>
    <cfRule type="cellIs" dxfId="0" priority="729" operator="equal">
      <formula>"未完成"</formula>
    </cfRule>
  </conditionalFormatting>
  <conditionalFormatting sqref="AH152">
    <cfRule type="cellIs" dxfId="0" priority="721" operator="equal">
      <formula>"欠"</formula>
    </cfRule>
  </conditionalFormatting>
  <conditionalFormatting sqref="R153:S153">
    <cfRule type="cellIs" dxfId="0" priority="712" operator="equal">
      <formula>"欠"</formula>
    </cfRule>
  </conditionalFormatting>
  <conditionalFormatting sqref="T153">
    <cfRule type="cellIs" dxfId="0" priority="708" operator="equal">
      <formula>"欠"</formula>
    </cfRule>
  </conditionalFormatting>
  <conditionalFormatting sqref="AB153">
    <cfRule type="cellIs" dxfId="0" priority="716" operator="equal">
      <formula>"未完成"</formula>
    </cfRule>
  </conditionalFormatting>
  <conditionalFormatting sqref="AF153:AG153">
    <cfRule type="cellIs" dxfId="1" priority="724" operator="equal">
      <formula>"未完成"</formula>
    </cfRule>
    <cfRule type="cellIs" dxfId="0" priority="728" operator="equal">
      <formula>"未完成"</formula>
    </cfRule>
  </conditionalFormatting>
  <conditionalFormatting sqref="AH153">
    <cfRule type="cellIs" dxfId="0" priority="720" operator="equal">
      <formula>"欠"</formula>
    </cfRule>
  </conditionalFormatting>
  <conditionalFormatting sqref="R154:S154">
    <cfRule type="cellIs" dxfId="0" priority="711" operator="equal">
      <formula>"欠"</formula>
    </cfRule>
  </conditionalFormatting>
  <conditionalFormatting sqref="T154">
    <cfRule type="cellIs" dxfId="0" priority="707" operator="equal">
      <formula>"欠"</formula>
    </cfRule>
  </conditionalFormatting>
  <conditionalFormatting sqref="AB154">
    <cfRule type="cellIs" dxfId="0" priority="715" operator="equal">
      <formula>"未完成"</formula>
    </cfRule>
  </conditionalFormatting>
  <conditionalFormatting sqref="AF154:AG154">
    <cfRule type="cellIs" dxfId="1" priority="723" operator="equal">
      <formula>"未完成"</formula>
    </cfRule>
    <cfRule type="cellIs" dxfId="0" priority="727" operator="equal">
      <formula>"未完成"</formula>
    </cfRule>
  </conditionalFormatting>
  <conditionalFormatting sqref="AH154">
    <cfRule type="cellIs" dxfId="0" priority="719" operator="equal">
      <formula>"欠"</formula>
    </cfRule>
  </conditionalFormatting>
  <conditionalFormatting sqref="R155:S155">
    <cfRule type="cellIs" dxfId="0" priority="710" operator="equal">
      <formula>"欠"</formula>
    </cfRule>
  </conditionalFormatting>
  <conditionalFormatting sqref="T155">
    <cfRule type="cellIs" dxfId="0" priority="706" operator="equal">
      <formula>"欠"</formula>
    </cfRule>
  </conditionalFormatting>
  <conditionalFormatting sqref="AB155">
    <cfRule type="cellIs" dxfId="0" priority="714" operator="equal">
      <formula>"未完成"</formula>
    </cfRule>
  </conditionalFormatting>
  <conditionalFormatting sqref="AF155:AG155">
    <cfRule type="cellIs" dxfId="1" priority="722" operator="equal">
      <formula>"未完成"</formula>
    </cfRule>
    <cfRule type="cellIs" dxfId="0" priority="726" operator="equal">
      <formula>"未完成"</formula>
    </cfRule>
  </conditionalFormatting>
  <conditionalFormatting sqref="AH155">
    <cfRule type="cellIs" dxfId="0" priority="718" operator="equal">
      <formula>"欠"</formula>
    </cfRule>
  </conditionalFormatting>
  <conditionalFormatting sqref="S156">
    <cfRule type="cellIs" dxfId="0" priority="700" operator="equal">
      <formula>"欠"</formula>
    </cfRule>
  </conditionalFormatting>
  <conditionalFormatting sqref="AB156">
    <cfRule type="cellIs" dxfId="0" priority="702" operator="equal">
      <formula>"未完成"</formula>
    </cfRule>
  </conditionalFormatting>
  <conditionalFormatting sqref="AF156">
    <cfRule type="cellIs" dxfId="0" priority="703" operator="equal">
      <formula>"欠"</formula>
    </cfRule>
  </conditionalFormatting>
  <conditionalFormatting sqref="S157">
    <cfRule type="cellIs" dxfId="0" priority="694" operator="equal">
      <formula>"欠"</formula>
    </cfRule>
  </conditionalFormatting>
  <conditionalFormatting sqref="AB157">
    <cfRule type="cellIs" dxfId="0" priority="696" operator="equal">
      <formula>"未完成"</formula>
    </cfRule>
  </conditionalFormatting>
  <conditionalFormatting sqref="AF157">
    <cfRule type="cellIs" dxfId="0" priority="697" operator="equal">
      <formula>"欠"</formula>
    </cfRule>
  </conditionalFormatting>
  <conditionalFormatting sqref="S158">
    <cfRule type="cellIs" dxfId="0" priority="688" operator="equal">
      <formula>"欠"</formula>
    </cfRule>
  </conditionalFormatting>
  <conditionalFormatting sqref="AB158">
    <cfRule type="cellIs" dxfId="0" priority="690" operator="equal">
      <formula>"未完成"</formula>
    </cfRule>
  </conditionalFormatting>
  <conditionalFormatting sqref="AF158">
    <cfRule type="cellIs" dxfId="0" priority="691" operator="equal">
      <formula>"欠"</formula>
    </cfRule>
  </conditionalFormatting>
  <conditionalFormatting sqref="R159:S159">
    <cfRule type="cellIs" dxfId="0" priority="683" operator="equal">
      <formula>"欠"</formula>
    </cfRule>
  </conditionalFormatting>
  <conditionalFormatting sqref="T159">
    <cfRule type="cellIs" dxfId="0" priority="682" operator="equal">
      <formula>"欠"</formula>
    </cfRule>
  </conditionalFormatting>
  <conditionalFormatting sqref="AB159">
    <cfRule type="cellIs" dxfId="0" priority="684" operator="equal">
      <formula>"未完成"</formula>
    </cfRule>
  </conditionalFormatting>
  <conditionalFormatting sqref="AF159:AG159">
    <cfRule type="cellIs" dxfId="1" priority="686" operator="equal">
      <formula>"未完成"</formula>
    </cfRule>
    <cfRule type="cellIs" dxfId="0" priority="687" operator="equal">
      <formula>"未完成"</formula>
    </cfRule>
  </conditionalFormatting>
  <conditionalFormatting sqref="AH159">
    <cfRule type="cellIs" dxfId="0" priority="685" operator="equal">
      <formula>"欠"</formula>
    </cfRule>
  </conditionalFormatting>
  <conditionalFormatting sqref="R160:S160">
    <cfRule type="cellIs" dxfId="0" priority="677" operator="equal">
      <formula>"欠"</formula>
    </cfRule>
  </conditionalFormatting>
  <conditionalFormatting sqref="R161:S161">
    <cfRule type="cellIs" dxfId="0" priority="676" operator="equal">
      <formula>"欠"</formula>
    </cfRule>
  </conditionalFormatting>
  <conditionalFormatting sqref="R162:S162">
    <cfRule type="cellIs" dxfId="0" priority="675" operator="equal">
      <formula>"欠"</formula>
    </cfRule>
  </conditionalFormatting>
  <conditionalFormatting sqref="R163:S163">
    <cfRule type="cellIs" dxfId="0" priority="674" operator="equal">
      <formula>"欠"</formula>
    </cfRule>
  </conditionalFormatting>
  <conditionalFormatting sqref="R164:S164">
    <cfRule type="cellIs" dxfId="0" priority="673" operator="equal">
      <formula>"欠"</formula>
    </cfRule>
  </conditionalFormatting>
  <conditionalFormatting sqref="R165:S165">
    <cfRule type="cellIs" dxfId="0" priority="672" operator="equal">
      <formula>"欠"</formula>
    </cfRule>
  </conditionalFormatting>
  <conditionalFormatting sqref="R166:S166">
    <cfRule type="cellIs" dxfId="0" priority="671" operator="equal">
      <formula>"欠"</formula>
    </cfRule>
  </conditionalFormatting>
  <conditionalFormatting sqref="R167:S167">
    <cfRule type="cellIs" dxfId="0" priority="670" operator="equal">
      <formula>"欠"</formula>
    </cfRule>
  </conditionalFormatting>
  <conditionalFormatting sqref="R168:S168">
    <cfRule type="cellIs" dxfId="0" priority="669" operator="equal">
      <formula>"欠"</formula>
    </cfRule>
  </conditionalFormatting>
  <conditionalFormatting sqref="R169:S169">
    <cfRule type="cellIs" dxfId="0" priority="668" operator="equal">
      <formula>"欠"</formula>
    </cfRule>
  </conditionalFormatting>
  <conditionalFormatting sqref="R170:S170">
    <cfRule type="cellIs" dxfId="0" priority="667" operator="equal">
      <formula>"欠"</formula>
    </cfRule>
  </conditionalFormatting>
  <conditionalFormatting sqref="R171:S171">
    <cfRule type="cellIs" dxfId="0" priority="666" operator="equal">
      <formula>"欠"</formula>
    </cfRule>
  </conditionalFormatting>
  <conditionalFormatting sqref="R172:S172">
    <cfRule type="cellIs" dxfId="0" priority="665" operator="equal">
      <formula>"欠"</formula>
    </cfRule>
  </conditionalFormatting>
  <conditionalFormatting sqref="T172">
    <cfRule type="cellIs" dxfId="0" priority="660" operator="equal">
      <formula>"欠"</formula>
    </cfRule>
  </conditionalFormatting>
  <conditionalFormatting sqref="R173:S173">
    <cfRule type="cellIs" dxfId="0" priority="664" operator="equal">
      <formula>"欠"</formula>
    </cfRule>
  </conditionalFormatting>
  <conditionalFormatting sqref="R174:S174">
    <cfRule type="cellIs" dxfId="0" priority="663" operator="equal">
      <formula>"欠"</formula>
    </cfRule>
  </conditionalFormatting>
  <conditionalFormatting sqref="R175:S175">
    <cfRule type="cellIs" dxfId="0" priority="662" operator="equal">
      <formula>"欠"</formula>
    </cfRule>
  </conditionalFormatting>
  <conditionalFormatting sqref="R176:S176">
    <cfRule type="cellIs" dxfId="0" priority="661" operator="equal">
      <formula>"欠"</formula>
    </cfRule>
  </conditionalFormatting>
  <conditionalFormatting sqref="R177:S177">
    <cfRule type="cellIs" dxfId="0" priority="653" operator="equal">
      <formula>"欠"</formula>
    </cfRule>
  </conditionalFormatting>
  <conditionalFormatting sqref="R178:S178">
    <cfRule type="cellIs" dxfId="0" priority="652" operator="equal">
      <formula>"欠"</formula>
    </cfRule>
  </conditionalFormatting>
  <conditionalFormatting sqref="R179:S179">
    <cfRule type="cellIs" dxfId="0" priority="640" operator="equal">
      <formula>"欠"</formula>
    </cfRule>
  </conditionalFormatting>
  <conditionalFormatting sqref="T179">
    <cfRule type="cellIs" dxfId="0" priority="639" operator="equal">
      <formula>"欠"</formula>
    </cfRule>
  </conditionalFormatting>
  <conditionalFormatting sqref="S180">
    <cfRule type="cellIs" dxfId="0" priority="638" operator="equal">
      <formula>"欠"</formula>
    </cfRule>
  </conditionalFormatting>
  <conditionalFormatting sqref="T180">
    <cfRule type="cellIs" dxfId="0" priority="635" operator="equal">
      <formula>"欠"</formula>
    </cfRule>
  </conditionalFormatting>
  <conditionalFormatting sqref="S181">
    <cfRule type="cellIs" dxfId="0" priority="637" operator="equal">
      <formula>"欠"</formula>
    </cfRule>
  </conditionalFormatting>
  <conditionalFormatting sqref="T181">
    <cfRule type="cellIs" dxfId="0" priority="634" operator="equal">
      <formula>"欠"</formula>
    </cfRule>
  </conditionalFormatting>
  <conditionalFormatting sqref="S182">
    <cfRule type="cellIs" dxfId="0" priority="636" operator="equal">
      <formula>"欠"</formula>
    </cfRule>
  </conditionalFormatting>
  <conditionalFormatting sqref="T182">
    <cfRule type="cellIs" dxfId="0" priority="633" operator="equal">
      <formula>"欠"</formula>
    </cfRule>
  </conditionalFormatting>
  <conditionalFormatting sqref="R183">
    <cfRule type="cellIs" dxfId="0" priority="626" operator="equal">
      <formula>"欠"</formula>
    </cfRule>
  </conditionalFormatting>
  <conditionalFormatting sqref="AB183">
    <cfRule type="cellIs" dxfId="0" priority="629" operator="equal">
      <formula>"未完成"</formula>
    </cfRule>
  </conditionalFormatting>
  <conditionalFormatting sqref="AF183:AG183">
    <cfRule type="cellIs" dxfId="1" priority="630" operator="equal">
      <formula>"未完成"</formula>
    </cfRule>
    <cfRule type="cellIs" dxfId="0" priority="631" operator="equal">
      <formula>"未完成"</formula>
    </cfRule>
  </conditionalFormatting>
  <conditionalFormatting sqref="AH183:AN183">
    <cfRule type="cellIs" dxfId="1" priority="627" operator="equal">
      <formula>"未完成"</formula>
    </cfRule>
    <cfRule type="cellIs" dxfId="0" priority="628" operator="equal">
      <formula>"未完成"</formula>
    </cfRule>
  </conditionalFormatting>
  <conditionalFormatting sqref="R184">
    <cfRule type="cellIs" dxfId="0" priority="619" operator="equal">
      <formula>"欠"</formula>
    </cfRule>
  </conditionalFormatting>
  <conditionalFormatting sqref="T184">
    <cfRule type="cellIs" dxfId="0" priority="620" operator="equal">
      <formula>"欠"</formula>
    </cfRule>
  </conditionalFormatting>
  <conditionalFormatting sqref="AB184">
    <cfRule type="cellIs" dxfId="0" priority="623" operator="equal">
      <formula>"未完成"</formula>
    </cfRule>
  </conditionalFormatting>
  <conditionalFormatting sqref="AF184:AG184">
    <cfRule type="cellIs" dxfId="1" priority="624" operator="equal">
      <formula>"未完成"</formula>
    </cfRule>
    <cfRule type="cellIs" dxfId="0" priority="625" operator="equal">
      <formula>"未完成"</formula>
    </cfRule>
  </conditionalFormatting>
  <conditionalFormatting sqref="R185">
    <cfRule type="cellIs" dxfId="0" priority="613" operator="equal">
      <formula>"欠"</formula>
    </cfRule>
  </conditionalFormatting>
  <conditionalFormatting sqref="T185">
    <cfRule type="cellIs" dxfId="0" priority="612" operator="equal">
      <formula>"欠"</formula>
    </cfRule>
  </conditionalFormatting>
  <conditionalFormatting sqref="AB185">
    <cfRule type="cellIs" dxfId="0" priority="616" operator="equal">
      <formula>"未完成"</formula>
    </cfRule>
  </conditionalFormatting>
  <conditionalFormatting sqref="AF185:AG185">
    <cfRule type="cellIs" dxfId="1" priority="617" operator="equal">
      <formula>"未完成"</formula>
    </cfRule>
    <cfRule type="cellIs" dxfId="0" priority="618" operator="equal">
      <formula>"未完成"</formula>
    </cfRule>
  </conditionalFormatting>
  <conditionalFormatting sqref="AH185:AN185">
    <cfRule type="cellIs" dxfId="1" priority="614" operator="equal">
      <formula>"未完成"</formula>
    </cfRule>
    <cfRule type="cellIs" dxfId="0" priority="615" operator="equal">
      <formula>"未完成"</formula>
    </cfRule>
  </conditionalFormatting>
  <conditionalFormatting sqref="R186">
    <cfRule type="cellIs" dxfId="0" priority="605" operator="equal">
      <formula>"欠"</formula>
    </cfRule>
  </conditionalFormatting>
  <conditionalFormatting sqref="T186">
    <cfRule type="cellIs" dxfId="0" priority="606" operator="equal">
      <formula>"欠"</formula>
    </cfRule>
  </conditionalFormatting>
  <conditionalFormatting sqref="R187">
    <cfRule type="cellIs" dxfId="0" priority="598" operator="equal">
      <formula>"欠"</formula>
    </cfRule>
  </conditionalFormatting>
  <conditionalFormatting sqref="T187">
    <cfRule type="cellIs" dxfId="0" priority="599" operator="equal">
      <formula>"欠"</formula>
    </cfRule>
  </conditionalFormatting>
  <conditionalFormatting sqref="R188">
    <cfRule type="cellIs" dxfId="0" priority="595" operator="equal">
      <formula>"欠"</formula>
    </cfRule>
  </conditionalFormatting>
  <conditionalFormatting sqref="T188">
    <cfRule type="cellIs" dxfId="0" priority="597" operator="equal">
      <formula>"欠"</formula>
    </cfRule>
  </conditionalFormatting>
  <conditionalFormatting sqref="R189">
    <cfRule type="cellIs" dxfId="0" priority="594" operator="equal">
      <formula>"欠"</formula>
    </cfRule>
  </conditionalFormatting>
  <conditionalFormatting sqref="T189">
    <cfRule type="cellIs" dxfId="0" priority="596" operator="equal">
      <formula>"欠"</formula>
    </cfRule>
  </conditionalFormatting>
  <conditionalFormatting sqref="R190">
    <cfRule type="cellIs" dxfId="0" priority="589" operator="equal">
      <formula>"欠"</formula>
    </cfRule>
  </conditionalFormatting>
  <conditionalFormatting sqref="S190">
    <cfRule type="cellIs" dxfId="0" priority="588" operator="equal">
      <formula>"欠"</formula>
    </cfRule>
  </conditionalFormatting>
  <conditionalFormatting sqref="R191">
    <cfRule type="cellIs" dxfId="0" priority="587" operator="equal">
      <formula>"欠"</formula>
    </cfRule>
  </conditionalFormatting>
  <conditionalFormatting sqref="S191">
    <cfRule type="cellIs" dxfId="0" priority="586" operator="equal">
      <formula>"欠"</formula>
    </cfRule>
  </conditionalFormatting>
  <conditionalFormatting sqref="R192">
    <cfRule type="cellIs" dxfId="0" priority="562" operator="equal">
      <formula>"欠"</formula>
    </cfRule>
  </conditionalFormatting>
  <conditionalFormatting sqref="T192">
    <cfRule type="cellIs" dxfId="0" priority="563" operator="equal">
      <formula>"欠"</formula>
    </cfRule>
  </conditionalFormatting>
  <conditionalFormatting sqref="AC192">
    <cfRule type="cellIs" dxfId="0" priority="570" operator="equal">
      <formula>"未完成"</formula>
    </cfRule>
  </conditionalFormatting>
  <conditionalFormatting sqref="AG192:AH192">
    <cfRule type="cellIs" dxfId="0" priority="572" operator="equal">
      <formula>"未完成"</formula>
    </cfRule>
    <cfRule type="cellIs" dxfId="1" priority="571" operator="equal">
      <formula>"未完成"</formula>
    </cfRule>
  </conditionalFormatting>
  <conditionalFormatting sqref="AI192">
    <cfRule type="cellIs" dxfId="0" priority="561" operator="equal">
      <formula>"未完成"</formula>
    </cfRule>
    <cfRule type="cellIs" dxfId="1" priority="560" operator="equal">
      <formula>"未完成"</formula>
    </cfRule>
  </conditionalFormatting>
  <conditionalFormatting sqref="AJ192:AK192">
    <cfRule type="cellIs" dxfId="0" priority="574" operator="equal">
      <formula>"未完成"</formula>
    </cfRule>
    <cfRule type="cellIs" dxfId="1" priority="573" operator="equal">
      <formula>"未完成"</formula>
    </cfRule>
  </conditionalFormatting>
  <conditionalFormatting sqref="AM192">
    <cfRule type="cellIs" dxfId="0" priority="569" operator="equal">
      <formula>"未完成"</formula>
    </cfRule>
    <cfRule type="cellIs" dxfId="1" priority="568" operator="equal">
      <formula>"未完成"</formula>
    </cfRule>
  </conditionalFormatting>
  <conditionalFormatting sqref="AN192">
    <cfRule type="cellIs" dxfId="0" priority="567" operator="equal">
      <formula>"未完成"</formula>
    </cfRule>
    <cfRule type="cellIs" dxfId="1" priority="566" operator="equal">
      <formula>"未完成"</formula>
    </cfRule>
  </conditionalFormatting>
  <conditionalFormatting sqref="R193">
    <cfRule type="cellIs" dxfId="0" priority="547" operator="equal">
      <formula>"欠"</formula>
    </cfRule>
  </conditionalFormatting>
  <conditionalFormatting sqref="T193">
    <cfRule type="cellIs" dxfId="0" priority="548" operator="equal">
      <formula>"欠"</formula>
    </cfRule>
  </conditionalFormatting>
  <conditionalFormatting sqref="AC193">
    <cfRule type="cellIs" dxfId="0" priority="555" operator="equal">
      <formula>"未完成"</formula>
    </cfRule>
  </conditionalFormatting>
  <conditionalFormatting sqref="AG193:AH193">
    <cfRule type="cellIs" dxfId="0" priority="557" operator="equal">
      <formula>"未完成"</formula>
    </cfRule>
    <cfRule type="cellIs" dxfId="1" priority="556" operator="equal">
      <formula>"未完成"</formula>
    </cfRule>
  </conditionalFormatting>
  <conditionalFormatting sqref="AJ193">
    <cfRule type="cellIs" dxfId="0" priority="552" operator="equal">
      <formula>"未完成"</formula>
    </cfRule>
    <cfRule type="cellIs" dxfId="1" priority="551" operator="equal">
      <formula>"未完成"</formula>
    </cfRule>
  </conditionalFormatting>
  <conditionalFormatting sqref="AK193">
    <cfRule type="cellIs" dxfId="0" priority="550" operator="equal">
      <formula>"未完成"</formula>
    </cfRule>
    <cfRule type="cellIs" dxfId="1" priority="549" operator="equal">
      <formula>"未完成"</formula>
    </cfRule>
  </conditionalFormatting>
  <conditionalFormatting sqref="AP193:AR193">
    <cfRule type="cellIs" dxfId="0" priority="554" operator="equal">
      <formula>"未完成"</formula>
    </cfRule>
    <cfRule type="cellIs" dxfId="1" priority="553" operator="equal">
      <formula>"未完成"</formula>
    </cfRule>
  </conditionalFormatting>
  <conditionalFormatting sqref="R194">
    <cfRule type="cellIs" dxfId="0" priority="532" operator="equal">
      <formula>"欠"</formula>
    </cfRule>
  </conditionalFormatting>
  <conditionalFormatting sqref="T194">
    <cfRule type="cellIs" dxfId="0" priority="533" operator="equal">
      <formula>"欠"</formula>
    </cfRule>
  </conditionalFormatting>
  <conditionalFormatting sqref="AC194">
    <cfRule type="cellIs" dxfId="0" priority="542" operator="equal">
      <formula>"未完成"</formula>
    </cfRule>
  </conditionalFormatting>
  <conditionalFormatting sqref="AG194:AH194">
    <cfRule type="cellIs" dxfId="0" priority="544" operator="equal">
      <formula>"未完成"</formula>
    </cfRule>
    <cfRule type="cellIs" dxfId="1" priority="543" operator="equal">
      <formula>"未完成"</formula>
    </cfRule>
  </conditionalFormatting>
  <conditionalFormatting sqref="AJ194">
    <cfRule type="cellIs" dxfId="0" priority="537" operator="equal">
      <formula>"未完成"</formula>
    </cfRule>
    <cfRule type="cellIs" dxfId="1" priority="536" operator="equal">
      <formula>"未完成"</formula>
    </cfRule>
  </conditionalFormatting>
  <conditionalFormatting sqref="AK194">
    <cfRule type="cellIs" dxfId="0" priority="535" operator="equal">
      <formula>"未完成"</formula>
    </cfRule>
    <cfRule type="cellIs" dxfId="1" priority="534" operator="equal">
      <formula>"未完成"</formula>
    </cfRule>
  </conditionalFormatting>
  <conditionalFormatting sqref="AM194">
    <cfRule type="cellIs" dxfId="0" priority="546" operator="equal">
      <formula>"未完成"</formula>
    </cfRule>
    <cfRule type="cellIs" dxfId="1" priority="545" operator="equal">
      <formula>"未完成"</formula>
    </cfRule>
  </conditionalFormatting>
  <conditionalFormatting sqref="AP194:AR194">
    <cfRule type="cellIs" dxfId="0" priority="541" operator="equal">
      <formula>"未完成"</formula>
    </cfRule>
    <cfRule type="cellIs" dxfId="1" priority="540" operator="equal">
      <formula>"未完成"</formula>
    </cfRule>
  </conditionalFormatting>
  <conditionalFormatting sqref="R195">
    <cfRule type="cellIs" dxfId="0" priority="520" operator="equal">
      <formula>"欠"</formula>
    </cfRule>
  </conditionalFormatting>
  <conditionalFormatting sqref="T195">
    <cfRule type="cellIs" dxfId="0" priority="519" operator="equal">
      <formula>"欠"</formula>
    </cfRule>
  </conditionalFormatting>
  <conditionalFormatting sqref="AC195">
    <cfRule type="cellIs" dxfId="0" priority="527" operator="equal">
      <formula>"未完成"</formula>
    </cfRule>
  </conditionalFormatting>
  <conditionalFormatting sqref="AG195:AH195">
    <cfRule type="cellIs" dxfId="0" priority="529" operator="equal">
      <formula>"未完成"</formula>
    </cfRule>
    <cfRule type="cellIs" dxfId="1" priority="528" operator="equal">
      <formula>"未完成"</formula>
    </cfRule>
  </conditionalFormatting>
  <conditionalFormatting sqref="AJ195">
    <cfRule type="cellIs" dxfId="0" priority="522" operator="equal">
      <formula>"未完成"</formula>
    </cfRule>
    <cfRule type="cellIs" dxfId="1" priority="521" operator="equal">
      <formula>"未完成"</formula>
    </cfRule>
  </conditionalFormatting>
  <conditionalFormatting sqref="AK195">
    <cfRule type="cellIs" dxfId="0" priority="526" operator="equal">
      <formula>"未完成"</formula>
    </cfRule>
    <cfRule type="cellIs" dxfId="1" priority="525" operator="equal">
      <formula>"未完成"</formula>
    </cfRule>
  </conditionalFormatting>
  <conditionalFormatting sqref="AM195">
    <cfRule type="cellIs" dxfId="0" priority="518" operator="equal">
      <formula>"未完成"</formula>
    </cfRule>
    <cfRule type="cellIs" dxfId="1" priority="517" operator="equal">
      <formula>"未完成"</formula>
    </cfRule>
  </conditionalFormatting>
  <conditionalFormatting sqref="AP195:AR195">
    <cfRule type="cellIs" dxfId="0" priority="524" operator="equal">
      <formula>"未完成"</formula>
    </cfRule>
    <cfRule type="cellIs" dxfId="1" priority="523" operator="equal">
      <formula>"未完成"</formula>
    </cfRule>
  </conditionalFormatting>
  <conditionalFormatting sqref="R196">
    <cfRule type="cellIs" dxfId="0" priority="503" operator="equal">
      <formula>"欠"</formula>
    </cfRule>
  </conditionalFormatting>
  <conditionalFormatting sqref="T196">
    <cfRule type="cellIs" dxfId="0" priority="500" operator="equal">
      <formula>"欠"</formula>
    </cfRule>
  </conditionalFormatting>
  <conditionalFormatting sqref="AC196">
    <cfRule type="cellIs" dxfId="0" priority="512" operator="equal">
      <formula>"未完成"</formula>
    </cfRule>
  </conditionalFormatting>
  <conditionalFormatting sqref="AG196:AH196">
    <cfRule type="cellIs" dxfId="0" priority="514" operator="equal">
      <formula>"未完成"</formula>
    </cfRule>
    <cfRule type="cellIs" dxfId="1" priority="513" operator="equal">
      <formula>"未完成"</formula>
    </cfRule>
  </conditionalFormatting>
  <conditionalFormatting sqref="AI196">
    <cfRule type="cellIs" dxfId="0" priority="516" operator="equal">
      <formula>"未完成"</formula>
    </cfRule>
    <cfRule type="cellIs" dxfId="1" priority="515" operator="equal">
      <formula>"未完成"</formula>
    </cfRule>
  </conditionalFormatting>
  <conditionalFormatting sqref="AJ196">
    <cfRule type="cellIs" dxfId="0" priority="505" operator="equal">
      <formula>"未完成"</formula>
    </cfRule>
    <cfRule type="cellIs" dxfId="1" priority="504" operator="equal">
      <formula>"未完成"</formula>
    </cfRule>
  </conditionalFormatting>
  <conditionalFormatting sqref="AK196">
    <cfRule type="cellIs" dxfId="0" priority="509" operator="equal">
      <formula>"未完成"</formula>
    </cfRule>
    <cfRule type="cellIs" dxfId="1" priority="508" operator="equal">
      <formula>"未完成"</formula>
    </cfRule>
  </conditionalFormatting>
  <conditionalFormatting sqref="AM196">
    <cfRule type="cellIs" dxfId="0" priority="502" operator="equal">
      <formula>"未完成"</formula>
    </cfRule>
    <cfRule type="cellIs" dxfId="1" priority="501" operator="equal">
      <formula>"未完成"</formula>
    </cfRule>
  </conditionalFormatting>
  <conditionalFormatting sqref="AO196">
    <cfRule type="cellIs" dxfId="0" priority="511" operator="equal">
      <formula>"未完成"</formula>
    </cfRule>
    <cfRule type="cellIs" dxfId="1" priority="510" operator="equal">
      <formula>"未完成"</formula>
    </cfRule>
  </conditionalFormatting>
  <conditionalFormatting sqref="AP196:AR196">
    <cfRule type="cellIs" dxfId="0" priority="507" operator="equal">
      <formula>"未完成"</formula>
    </cfRule>
    <cfRule type="cellIs" dxfId="1" priority="506" operator="equal">
      <formula>"未完成"</formula>
    </cfRule>
  </conditionalFormatting>
  <conditionalFormatting sqref="R197">
    <cfRule type="cellIs" dxfId="0" priority="488" operator="equal">
      <formula>"欠"</formula>
    </cfRule>
  </conditionalFormatting>
  <conditionalFormatting sqref="T197">
    <cfRule type="cellIs" dxfId="0" priority="485" operator="equal">
      <formula>"欠"</formula>
    </cfRule>
  </conditionalFormatting>
  <conditionalFormatting sqref="AC197">
    <cfRule type="cellIs" dxfId="0" priority="497" operator="equal">
      <formula>"未完成"</formula>
    </cfRule>
  </conditionalFormatting>
  <conditionalFormatting sqref="AG197:AH197">
    <cfRule type="cellIs" dxfId="0" priority="499" operator="equal">
      <formula>"未完成"</formula>
    </cfRule>
    <cfRule type="cellIs" dxfId="1" priority="498" operator="equal">
      <formula>"未完成"</formula>
    </cfRule>
  </conditionalFormatting>
  <conditionalFormatting sqref="AI197">
    <cfRule type="cellIs" dxfId="0" priority="487" operator="equal">
      <formula>"未完成"</formula>
    </cfRule>
    <cfRule type="cellIs" dxfId="1" priority="486" operator="equal">
      <formula>"未完成"</formula>
    </cfRule>
  </conditionalFormatting>
  <conditionalFormatting sqref="AJ197">
    <cfRule type="cellIs" dxfId="0" priority="492" operator="equal">
      <formula>"未完成"</formula>
    </cfRule>
    <cfRule type="cellIs" dxfId="1" priority="491" operator="equal">
      <formula>"未完成"</formula>
    </cfRule>
  </conditionalFormatting>
  <conditionalFormatting sqref="AK197">
    <cfRule type="cellIs" dxfId="0" priority="490" operator="equal">
      <formula>"未完成"</formula>
    </cfRule>
    <cfRule type="cellIs" dxfId="1" priority="489" operator="equal">
      <formula>"未完成"</formula>
    </cfRule>
  </conditionalFormatting>
  <conditionalFormatting sqref="AM197:AN197">
    <cfRule type="cellIs" dxfId="0" priority="484" operator="equal">
      <formula>"未完成"</formula>
    </cfRule>
    <cfRule type="cellIs" dxfId="1" priority="483" operator="equal">
      <formula>"未完成"</formula>
    </cfRule>
  </conditionalFormatting>
  <conditionalFormatting sqref="AP197">
    <cfRule type="cellIs" dxfId="0" priority="494" operator="equal">
      <formula>"未完成"</formula>
    </cfRule>
    <cfRule type="cellIs" dxfId="1" priority="493" operator="equal">
      <formula>"未完成"</formula>
    </cfRule>
  </conditionalFormatting>
  <conditionalFormatting sqref="AQ197:AS197">
    <cfRule type="cellIs" dxfId="0" priority="496" operator="equal">
      <formula>"未完成"</formula>
    </cfRule>
    <cfRule type="cellIs" dxfId="1" priority="495" operator="equal">
      <formula>"未完成"</formula>
    </cfRule>
  </conditionalFormatting>
  <conditionalFormatting sqref="R198">
    <cfRule type="cellIs" dxfId="0" priority="467" operator="equal">
      <formula>"欠"</formula>
    </cfRule>
  </conditionalFormatting>
  <conditionalFormatting sqref="T198">
    <cfRule type="cellIs" dxfId="0" priority="468" operator="equal">
      <formula>"欠"</formula>
    </cfRule>
  </conditionalFormatting>
  <conditionalFormatting sqref="AG198:AH198">
    <cfRule type="cellIs" dxfId="0" priority="480" operator="equal">
      <formula>"未完成"</formula>
    </cfRule>
    <cfRule type="cellIs" dxfId="1" priority="479" operator="equal">
      <formula>"未完成"</formula>
    </cfRule>
  </conditionalFormatting>
  <conditionalFormatting sqref="AI198">
    <cfRule type="cellIs" dxfId="0" priority="470" operator="equal">
      <formula>"未完成"</formula>
    </cfRule>
    <cfRule type="cellIs" dxfId="1" priority="469" operator="equal">
      <formula>"未完成"</formula>
    </cfRule>
  </conditionalFormatting>
  <conditionalFormatting sqref="AJ198">
    <cfRule type="cellIs" dxfId="0" priority="474" operator="equal">
      <formula>"未完成"</formula>
    </cfRule>
    <cfRule type="cellIs" dxfId="1" priority="473" operator="equal">
      <formula>"未完成"</formula>
    </cfRule>
  </conditionalFormatting>
  <conditionalFormatting sqref="AK198">
    <cfRule type="cellIs" dxfId="0" priority="472" operator="equal">
      <formula>"未完成"</formula>
    </cfRule>
    <cfRule type="cellIs" dxfId="1" priority="471" operator="equal">
      <formula>"未完成"</formula>
    </cfRule>
  </conditionalFormatting>
  <conditionalFormatting sqref="AM198:AN198">
    <cfRule type="cellIs" dxfId="0" priority="482" operator="equal">
      <formula>"未完成"</formula>
    </cfRule>
    <cfRule type="cellIs" dxfId="1" priority="481" operator="equal">
      <formula>"未完成"</formula>
    </cfRule>
  </conditionalFormatting>
  <conditionalFormatting sqref="AP198">
    <cfRule type="cellIs" dxfId="0" priority="476" operator="equal">
      <formula>"未完成"</formula>
    </cfRule>
    <cfRule type="cellIs" dxfId="1" priority="475" operator="equal">
      <formula>"未完成"</formula>
    </cfRule>
  </conditionalFormatting>
  <conditionalFormatting sqref="AQ198:AS198">
    <cfRule type="cellIs" dxfId="0" priority="478" operator="equal">
      <formula>"未完成"</formula>
    </cfRule>
    <cfRule type="cellIs" dxfId="1" priority="477" operator="equal">
      <formula>"未完成"</formula>
    </cfRule>
  </conditionalFormatting>
  <conditionalFormatting sqref="R199">
    <cfRule type="cellIs" dxfId="0" priority="453" operator="equal">
      <formula>"欠"</formula>
    </cfRule>
  </conditionalFormatting>
  <conditionalFormatting sqref="T199">
    <cfRule type="cellIs" dxfId="0" priority="454" operator="equal">
      <formula>"欠"</formula>
    </cfRule>
  </conditionalFormatting>
  <conditionalFormatting sqref="AG199:AH199">
    <cfRule type="cellIs" dxfId="0" priority="464" operator="equal">
      <formula>"未完成"</formula>
    </cfRule>
    <cfRule type="cellIs" dxfId="1" priority="463" operator="equal">
      <formula>"未完成"</formula>
    </cfRule>
  </conditionalFormatting>
  <conditionalFormatting sqref="AI199">
    <cfRule type="cellIs" dxfId="0" priority="452" operator="equal">
      <formula>"未完成"</formula>
    </cfRule>
    <cfRule type="cellIs" dxfId="1" priority="451" operator="equal">
      <formula>"未完成"</formula>
    </cfRule>
  </conditionalFormatting>
  <conditionalFormatting sqref="AJ199">
    <cfRule type="cellIs" dxfId="0" priority="456" operator="equal">
      <formula>"未完成"</formula>
    </cfRule>
    <cfRule type="cellIs" dxfId="1" priority="455" operator="equal">
      <formula>"未完成"</formula>
    </cfRule>
  </conditionalFormatting>
  <conditionalFormatting sqref="AK199">
    <cfRule type="cellIs" dxfId="0" priority="458" operator="equal">
      <formula>"未完成"</formula>
    </cfRule>
    <cfRule type="cellIs" dxfId="1" priority="457" operator="equal">
      <formula>"未完成"</formula>
    </cfRule>
  </conditionalFormatting>
  <conditionalFormatting sqref="AM199:AN199">
    <cfRule type="cellIs" dxfId="0" priority="466" operator="equal">
      <formula>"未完成"</formula>
    </cfRule>
    <cfRule type="cellIs" dxfId="1" priority="465" operator="equal">
      <formula>"未完成"</formula>
    </cfRule>
  </conditionalFormatting>
  <conditionalFormatting sqref="AP199">
    <cfRule type="cellIs" dxfId="0" priority="460" operator="equal">
      <formula>"未完成"</formula>
    </cfRule>
    <cfRule type="cellIs" dxfId="1" priority="459" operator="equal">
      <formula>"未完成"</formula>
    </cfRule>
  </conditionalFormatting>
  <conditionalFormatting sqref="AQ199:AS199">
    <cfRule type="cellIs" dxfId="0" priority="462" operator="equal">
      <formula>"未完成"</formula>
    </cfRule>
    <cfRule type="cellIs" dxfId="1" priority="461" operator="equal">
      <formula>"未完成"</formula>
    </cfRule>
  </conditionalFormatting>
  <conditionalFormatting sqref="R200">
    <cfRule type="cellIs" dxfId="0" priority="435" operator="equal">
      <formula>"欠"</formula>
    </cfRule>
  </conditionalFormatting>
  <conditionalFormatting sqref="T200">
    <cfRule type="cellIs" dxfId="0" priority="434" operator="equal">
      <formula>"欠"</formula>
    </cfRule>
  </conditionalFormatting>
  <conditionalFormatting sqref="AC200">
    <cfRule type="cellIs" dxfId="0" priority="446" operator="equal">
      <formula>"未完成"</formula>
    </cfRule>
  </conditionalFormatting>
  <conditionalFormatting sqref="AG200:AH200">
    <cfRule type="cellIs" dxfId="0" priority="448" operator="equal">
      <formula>"未完成"</formula>
    </cfRule>
    <cfRule type="cellIs" dxfId="1" priority="447" operator="equal">
      <formula>"未完成"</formula>
    </cfRule>
  </conditionalFormatting>
  <conditionalFormatting sqref="AI200">
    <cfRule type="cellIs" dxfId="0" priority="450" operator="equal">
      <formula>"未完成"</formula>
    </cfRule>
    <cfRule type="cellIs" dxfId="1" priority="449" operator="equal">
      <formula>"未完成"</formula>
    </cfRule>
  </conditionalFormatting>
  <conditionalFormatting sqref="AJ200">
    <cfRule type="cellIs" dxfId="0" priority="441" operator="equal">
      <formula>"未完成"</formula>
    </cfRule>
    <cfRule type="cellIs" dxfId="1" priority="440" operator="equal">
      <formula>"未完成"</formula>
    </cfRule>
  </conditionalFormatting>
  <conditionalFormatting sqref="AK200">
    <cfRule type="cellIs" dxfId="0" priority="437" operator="equal">
      <formula>"未完成"</formula>
    </cfRule>
    <cfRule type="cellIs" dxfId="1" priority="436" operator="equal">
      <formula>"未完成"</formula>
    </cfRule>
  </conditionalFormatting>
  <conditionalFormatting sqref="AM200:AN200">
    <cfRule type="cellIs" dxfId="0" priority="439" operator="equal">
      <formula>"未完成"</formula>
    </cfRule>
    <cfRule type="cellIs" dxfId="1" priority="438" operator="equal">
      <formula>"未完成"</formula>
    </cfRule>
  </conditionalFormatting>
  <conditionalFormatting sqref="AP200">
    <cfRule type="cellIs" dxfId="0" priority="443" operator="equal">
      <formula>"未完成"</formula>
    </cfRule>
    <cfRule type="cellIs" dxfId="1" priority="442" operator="equal">
      <formula>"未完成"</formula>
    </cfRule>
  </conditionalFormatting>
  <conditionalFormatting sqref="AQ200:AS200">
    <cfRule type="cellIs" dxfId="0" priority="445" operator="equal">
      <formula>"未完成"</formula>
    </cfRule>
    <cfRule type="cellIs" dxfId="1" priority="444" operator="equal">
      <formula>"未完成"</formula>
    </cfRule>
  </conditionalFormatting>
  <conditionalFormatting sqref="R203">
    <cfRule type="cellIs" dxfId="0" priority="405" operator="equal">
      <formula>"欠"</formula>
    </cfRule>
  </conditionalFormatting>
  <conditionalFormatting sqref="T203">
    <cfRule type="cellIs" dxfId="0" priority="404" operator="equal">
      <formula>"欠"</formula>
    </cfRule>
  </conditionalFormatting>
  <conditionalFormatting sqref="AC203">
    <cfRule type="cellIs" dxfId="0" priority="412" operator="equal">
      <formula>"未完成"</formula>
    </cfRule>
  </conditionalFormatting>
  <conditionalFormatting sqref="AG203:AH203">
    <cfRule type="cellIs" dxfId="0" priority="414" operator="equal">
      <formula>"未完成"</formula>
    </cfRule>
    <cfRule type="cellIs" dxfId="1" priority="413" operator="equal">
      <formula>"未完成"</formula>
    </cfRule>
  </conditionalFormatting>
  <conditionalFormatting sqref="AI203">
    <cfRule type="cellIs" dxfId="0" priority="416" operator="equal">
      <formula>"未完成"</formula>
    </cfRule>
    <cfRule type="cellIs" dxfId="1" priority="415" operator="equal">
      <formula>"未完成"</formula>
    </cfRule>
  </conditionalFormatting>
  <conditionalFormatting sqref="AJ203">
    <cfRule type="cellIs" dxfId="0" priority="401" operator="equal">
      <formula>"未完成"</formula>
    </cfRule>
    <cfRule type="cellIs" dxfId="1" priority="400" operator="equal">
      <formula>"未完成"</formula>
    </cfRule>
  </conditionalFormatting>
  <conditionalFormatting sqref="AK203">
    <cfRule type="cellIs" dxfId="0" priority="399" operator="equal">
      <formula>"未完成"</formula>
    </cfRule>
    <cfRule type="cellIs" dxfId="1" priority="398" operator="equal">
      <formula>"未完成"</formula>
    </cfRule>
  </conditionalFormatting>
  <conditionalFormatting sqref="AM203">
    <cfRule type="cellIs" dxfId="0" priority="403" operator="equal">
      <formula>"未完成"</formula>
    </cfRule>
    <cfRule type="cellIs" dxfId="1" priority="402" operator="equal">
      <formula>"未完成"</formula>
    </cfRule>
  </conditionalFormatting>
  <conditionalFormatting sqref="AN203">
    <cfRule type="cellIs" dxfId="0" priority="407" operator="equal">
      <formula>"未完成"</formula>
    </cfRule>
    <cfRule type="cellIs" dxfId="1" priority="406" operator="equal">
      <formula>"未完成"</formula>
    </cfRule>
  </conditionalFormatting>
  <conditionalFormatting sqref="AP203">
    <cfRule type="cellIs" dxfId="0" priority="409" operator="equal">
      <formula>"未完成"</formula>
    </cfRule>
    <cfRule type="cellIs" dxfId="1" priority="408" operator="equal">
      <formula>"未完成"</formula>
    </cfRule>
  </conditionalFormatting>
  <conditionalFormatting sqref="AQ203">
    <cfRule type="cellIs" dxfId="0" priority="397" operator="equal">
      <formula>"未完成"</formula>
    </cfRule>
    <cfRule type="cellIs" dxfId="1" priority="396" operator="equal">
      <formula>"未完成"</formula>
    </cfRule>
  </conditionalFormatting>
  <conditionalFormatting sqref="AR203:AS203">
    <cfRule type="cellIs" dxfId="0" priority="411" operator="equal">
      <formula>"未完成"</formula>
    </cfRule>
    <cfRule type="cellIs" dxfId="1" priority="410" operator="equal">
      <formula>"未完成"</formula>
    </cfRule>
  </conditionalFormatting>
  <conditionalFormatting sqref="R206">
    <cfRule type="cellIs" dxfId="0" priority="372" operator="equal">
      <formula>"欠"</formula>
    </cfRule>
  </conditionalFormatting>
  <conditionalFormatting sqref="S206">
    <cfRule type="cellIs" dxfId="0" priority="369" operator="equal">
      <formula>"欠"</formula>
    </cfRule>
  </conditionalFormatting>
  <conditionalFormatting sqref="T206">
    <cfRule type="cellIs" dxfId="0" priority="371" operator="equal">
      <formula>"欠"</formula>
    </cfRule>
  </conditionalFormatting>
  <conditionalFormatting sqref="AB206">
    <cfRule type="cellIs" dxfId="0" priority="370" operator="equal">
      <formula>"未完成"</formula>
    </cfRule>
  </conditionalFormatting>
  <conditionalFormatting sqref="AC206">
    <cfRule type="cellIs" dxfId="0" priority="368" operator="equal">
      <formula>"未完成"</formula>
    </cfRule>
    <cfRule type="cellIs" dxfId="1" priority="367" operator="equal">
      <formula>"未完成"</formula>
    </cfRule>
  </conditionalFormatting>
  <conditionalFormatting sqref="AD206">
    <cfRule type="cellIs" dxfId="0" priority="366" operator="equal">
      <formula>"未完成"</formula>
    </cfRule>
    <cfRule type="cellIs" dxfId="1" priority="365" operator="equal">
      <formula>"未完成"</formula>
    </cfRule>
  </conditionalFormatting>
  <conditionalFormatting sqref="R207">
    <cfRule type="cellIs" dxfId="0" priority="351" operator="equal">
      <formula>"欠"</formula>
    </cfRule>
  </conditionalFormatting>
  <conditionalFormatting sqref="T207">
    <cfRule type="cellIs" dxfId="0" priority="350" operator="equal">
      <formula>"欠"</formula>
    </cfRule>
  </conditionalFormatting>
  <conditionalFormatting sqref="AC207">
    <cfRule type="cellIs" dxfId="0" priority="362" operator="equal">
      <formula>"未完成"</formula>
    </cfRule>
  </conditionalFormatting>
  <conditionalFormatting sqref="AG207:AH207">
    <cfRule type="cellIs" dxfId="0" priority="364" operator="equal">
      <formula>"未完成"</formula>
    </cfRule>
    <cfRule type="cellIs" dxfId="1" priority="363" operator="equal">
      <formula>"未完成"</formula>
    </cfRule>
  </conditionalFormatting>
  <conditionalFormatting sqref="AI207">
    <cfRule type="cellIs" dxfId="0" priority="355" operator="equal">
      <formula>"未完成"</formula>
    </cfRule>
    <cfRule type="cellIs" dxfId="1" priority="354" operator="equal">
      <formula>"未完成"</formula>
    </cfRule>
  </conditionalFormatting>
  <conditionalFormatting sqref="AJ207">
    <cfRule type="cellIs" dxfId="0" priority="349" operator="equal">
      <formula>"未完成"</formula>
    </cfRule>
    <cfRule type="cellIs" dxfId="1" priority="348" operator="equal">
      <formula>"未完成"</formula>
    </cfRule>
  </conditionalFormatting>
  <conditionalFormatting sqref="AK207">
    <cfRule type="cellIs" dxfId="0" priority="357" operator="equal">
      <formula>"未完成"</formula>
    </cfRule>
    <cfRule type="cellIs" dxfId="1" priority="356" operator="equal">
      <formula>"未完成"</formula>
    </cfRule>
  </conditionalFormatting>
  <conditionalFormatting sqref="AM207">
    <cfRule type="cellIs" dxfId="0" priority="347" operator="equal">
      <formula>"未完成"</formula>
    </cfRule>
    <cfRule type="cellIs" dxfId="1" priority="346" operator="equal">
      <formula>"未完成"</formula>
    </cfRule>
  </conditionalFormatting>
  <conditionalFormatting sqref="AN207">
    <cfRule type="cellIs" dxfId="0" priority="353" operator="equal">
      <formula>"未完成"</formula>
    </cfRule>
    <cfRule type="cellIs" dxfId="1" priority="352" operator="equal">
      <formula>"未完成"</formula>
    </cfRule>
  </conditionalFormatting>
  <conditionalFormatting sqref="AP207">
    <cfRule type="cellIs" dxfId="0" priority="359" operator="equal">
      <formula>"未完成"</formula>
    </cfRule>
    <cfRule type="cellIs" dxfId="1" priority="358" operator="equal">
      <formula>"未完成"</formula>
    </cfRule>
  </conditionalFormatting>
  <conditionalFormatting sqref="AQ207">
    <cfRule type="cellIs" dxfId="0" priority="345" operator="equal">
      <formula>"未完成"</formula>
    </cfRule>
    <cfRule type="cellIs" dxfId="1" priority="344" operator="equal">
      <formula>"未完成"</formula>
    </cfRule>
  </conditionalFormatting>
  <conditionalFormatting sqref="AR207:AS207">
    <cfRule type="cellIs" dxfId="0" priority="361" operator="equal">
      <formula>"未完成"</formula>
    </cfRule>
    <cfRule type="cellIs" dxfId="1" priority="360" operator="equal">
      <formula>"未完成"</formula>
    </cfRule>
  </conditionalFormatting>
  <conditionalFormatting sqref="R208">
    <cfRule type="cellIs" dxfId="0" priority="315" operator="equal">
      <formula>"欠"</formula>
    </cfRule>
  </conditionalFormatting>
  <conditionalFormatting sqref="T208">
    <cfRule type="cellIs" dxfId="0" priority="314" operator="equal">
      <formula>"欠"</formula>
    </cfRule>
  </conditionalFormatting>
  <conditionalFormatting sqref="AC208">
    <cfRule type="cellIs" dxfId="0" priority="326" operator="equal">
      <formula>"未完成"</formula>
    </cfRule>
  </conditionalFormatting>
  <conditionalFormatting sqref="AG208:AH208">
    <cfRule type="cellIs" dxfId="1" priority="327" operator="equal">
      <formula>"未完成"</formula>
    </cfRule>
    <cfRule type="cellIs" dxfId="0" priority="328" operator="equal">
      <formula>"未完成"</formula>
    </cfRule>
  </conditionalFormatting>
  <conditionalFormatting sqref="AI208">
    <cfRule type="cellIs" dxfId="1" priority="318" operator="equal">
      <formula>"未完成"</formula>
    </cfRule>
    <cfRule type="cellIs" dxfId="0" priority="319" operator="equal">
      <formula>"未完成"</formula>
    </cfRule>
  </conditionalFormatting>
  <conditionalFormatting sqref="AJ208">
    <cfRule type="cellIs" dxfId="1" priority="310" operator="equal">
      <formula>"未完成"</formula>
    </cfRule>
    <cfRule type="cellIs" dxfId="0" priority="311" operator="equal">
      <formula>"未完成"</formula>
    </cfRule>
  </conditionalFormatting>
  <conditionalFormatting sqref="AK208">
    <cfRule type="cellIs" dxfId="1" priority="320" operator="equal">
      <formula>"未完成"</formula>
    </cfRule>
    <cfRule type="cellIs" dxfId="0" priority="321" operator="equal">
      <formula>"未完成"</formula>
    </cfRule>
  </conditionalFormatting>
  <conditionalFormatting sqref="AM208">
    <cfRule type="cellIs" dxfId="1" priority="312" operator="equal">
      <formula>"未完成"</formula>
    </cfRule>
    <cfRule type="cellIs" dxfId="0" priority="313" operator="equal">
      <formula>"未完成"</formula>
    </cfRule>
  </conditionalFormatting>
  <conditionalFormatting sqref="AN208">
    <cfRule type="cellIs" dxfId="1" priority="316" operator="equal">
      <formula>"未完成"</formula>
    </cfRule>
    <cfRule type="cellIs" dxfId="0" priority="317" operator="equal">
      <formula>"未完成"</formula>
    </cfRule>
  </conditionalFormatting>
  <conditionalFormatting sqref="AP208">
    <cfRule type="cellIs" dxfId="1" priority="322" operator="equal">
      <formula>"未完成"</formula>
    </cfRule>
    <cfRule type="cellIs" dxfId="0" priority="323" operator="equal">
      <formula>"未完成"</formula>
    </cfRule>
  </conditionalFormatting>
  <conditionalFormatting sqref="AQ208">
    <cfRule type="cellIs" dxfId="1" priority="308" operator="equal">
      <formula>"未完成"</formula>
    </cfRule>
    <cfRule type="cellIs" dxfId="0" priority="309" operator="equal">
      <formula>"未完成"</formula>
    </cfRule>
  </conditionalFormatting>
  <conditionalFormatting sqref="AR208:AS208">
    <cfRule type="cellIs" dxfId="1" priority="324" operator="equal">
      <formula>"未完成"</formula>
    </cfRule>
    <cfRule type="cellIs" dxfId="0" priority="325" operator="equal">
      <formula>"未完成"</formula>
    </cfRule>
  </conditionalFormatting>
  <conditionalFormatting sqref="R209">
    <cfRule type="cellIs" dxfId="0" priority="331" operator="equal">
      <formula>"欠"</formula>
    </cfRule>
  </conditionalFormatting>
  <conditionalFormatting sqref="T209">
    <cfRule type="cellIs" dxfId="0" priority="332" operator="equal">
      <formula>"欠"</formula>
    </cfRule>
  </conditionalFormatting>
  <conditionalFormatting sqref="AC209">
    <cfRule type="cellIs" dxfId="0" priority="343" operator="equal">
      <formula>"未完成"</formula>
    </cfRule>
  </conditionalFormatting>
  <conditionalFormatting sqref="AG209:AH209">
    <cfRule type="cellIs" dxfId="1" priority="341" operator="equal">
      <formula>"未完成"</formula>
    </cfRule>
    <cfRule type="cellIs" dxfId="0" priority="342" operator="equal">
      <formula>"未完成"</formula>
    </cfRule>
  </conditionalFormatting>
  <conditionalFormatting sqref="AJ209">
    <cfRule type="cellIs" dxfId="1" priority="333" operator="equal">
      <formula>"未完成"</formula>
    </cfRule>
    <cfRule type="cellIs" dxfId="0" priority="334" operator="equal">
      <formula>"未完成"</formula>
    </cfRule>
  </conditionalFormatting>
  <conditionalFormatting sqref="AK209">
    <cfRule type="cellIs" dxfId="1" priority="329" operator="equal">
      <formula>"未完成"</formula>
    </cfRule>
    <cfRule type="cellIs" dxfId="0" priority="330" operator="equal">
      <formula>"未完成"</formula>
    </cfRule>
  </conditionalFormatting>
  <conditionalFormatting sqref="AM209:AN209">
    <cfRule type="cellIs" dxfId="1" priority="339" operator="equal">
      <formula>"未完成"</formula>
    </cfRule>
    <cfRule type="cellIs" dxfId="0" priority="340" operator="equal">
      <formula>"未完成"</formula>
    </cfRule>
  </conditionalFormatting>
  <conditionalFormatting sqref="AQ209:AS209">
    <cfRule type="cellIs" dxfId="1" priority="335" operator="equal">
      <formula>"未完成"</formula>
    </cfRule>
    <cfRule type="cellIs" dxfId="0" priority="336" operator="equal">
      <formula>"未完成"</formula>
    </cfRule>
  </conditionalFormatting>
  <conditionalFormatting sqref="R212:T212">
    <cfRule type="cellIs" dxfId="0" priority="277" operator="equal">
      <formula>"欠"</formula>
    </cfRule>
  </conditionalFormatting>
  <conditionalFormatting sqref="AC212">
    <cfRule type="cellIs" dxfId="0" priority="280" operator="equal">
      <formula>"未完成"</formula>
    </cfRule>
    <cfRule type="cellIs" dxfId="1" priority="279" operator="equal">
      <formula>"未完成"</formula>
    </cfRule>
  </conditionalFormatting>
  <conditionalFormatting sqref="AD212">
    <cfRule type="cellIs" dxfId="0" priority="282" operator="equal">
      <formula>"未完成"</formula>
    </cfRule>
    <cfRule type="cellIs" dxfId="1" priority="281" operator="equal">
      <formula>"未完成"</formula>
    </cfRule>
  </conditionalFormatting>
  <conditionalFormatting sqref="AE212">
    <cfRule type="cellIs" dxfId="0" priority="276" operator="equal">
      <formula>"未完成"</formula>
    </cfRule>
    <cfRule type="cellIs" dxfId="1" priority="275" operator="equal">
      <formula>"未完成"</formula>
    </cfRule>
  </conditionalFormatting>
  <conditionalFormatting sqref="AF212">
    <cfRule type="cellIs" dxfId="0" priority="286" operator="equal">
      <formula>"未完成"</formula>
    </cfRule>
    <cfRule type="cellIs" dxfId="1" priority="285" operator="equal">
      <formula>"未完成"</formula>
    </cfRule>
  </conditionalFormatting>
  <conditionalFormatting sqref="AG212:AH212">
    <cfRule type="cellIs" dxfId="0" priority="284" operator="equal">
      <formula>"未完成"</formula>
    </cfRule>
    <cfRule type="cellIs" dxfId="1" priority="283" operator="equal">
      <formula>"未完成"</formula>
    </cfRule>
  </conditionalFormatting>
  <conditionalFormatting sqref="R213">
    <cfRule type="cellIs" dxfId="0" priority="274" operator="equal">
      <formula>"欠"</formula>
    </cfRule>
  </conditionalFormatting>
  <conditionalFormatting sqref="T213">
    <cfRule type="cellIs" dxfId="0" priority="268" operator="equal">
      <formula>"欠"</formula>
    </cfRule>
  </conditionalFormatting>
  <conditionalFormatting sqref="AC213">
    <cfRule type="cellIs" dxfId="0" priority="271" operator="equal">
      <formula>"未完成"</formula>
    </cfRule>
  </conditionalFormatting>
  <conditionalFormatting sqref="AG213:AH213">
    <cfRule type="cellIs" dxfId="0" priority="273" operator="equal">
      <formula>"未完成"</formula>
    </cfRule>
    <cfRule type="cellIs" dxfId="1" priority="272" operator="equal">
      <formula>"未完成"</formula>
    </cfRule>
  </conditionalFormatting>
  <conditionalFormatting sqref="AJ213">
    <cfRule type="cellIs" dxfId="0" priority="259" operator="equal">
      <formula>"未完成"</formula>
    </cfRule>
    <cfRule type="cellIs" dxfId="1" priority="258" operator="equal">
      <formula>"未完成"</formula>
    </cfRule>
  </conditionalFormatting>
  <conditionalFormatting sqref="AK213">
    <cfRule type="cellIs" dxfId="0" priority="261" operator="equal">
      <formula>"未完成"</formula>
    </cfRule>
    <cfRule type="cellIs" dxfId="1" priority="260" operator="equal">
      <formula>"未完成"</formula>
    </cfRule>
  </conditionalFormatting>
  <conditionalFormatting sqref="AM213:AN213">
    <cfRule type="cellIs" dxfId="0" priority="265" operator="equal">
      <formula>"未完成"</formula>
    </cfRule>
    <cfRule type="cellIs" dxfId="1" priority="264" operator="equal">
      <formula>"未完成"</formula>
    </cfRule>
  </conditionalFormatting>
  <conditionalFormatting sqref="AQ213">
    <cfRule type="cellIs" dxfId="0" priority="267" operator="equal">
      <formula>"未完成"</formula>
    </cfRule>
    <cfRule type="cellIs" dxfId="1" priority="266" operator="equal">
      <formula>"未完成"</formula>
    </cfRule>
  </conditionalFormatting>
  <conditionalFormatting sqref="AR213:AS213">
    <cfRule type="cellIs" dxfId="0" priority="270" operator="equal">
      <formula>"未完成"</formula>
    </cfRule>
    <cfRule type="cellIs" dxfId="1" priority="269" operator="equal">
      <formula>"未完成"</formula>
    </cfRule>
  </conditionalFormatting>
  <conditionalFormatting sqref="R216">
    <cfRule type="cellIs" dxfId="0" priority="219" operator="equal">
      <formula>"欠"</formula>
    </cfRule>
  </conditionalFormatting>
  <conditionalFormatting sqref="AC216">
    <cfRule type="cellIs" dxfId="0" priority="234" operator="equal">
      <formula>"未完成"</formula>
    </cfRule>
  </conditionalFormatting>
  <conditionalFormatting sqref="AH216">
    <cfRule type="cellIs" dxfId="1" priority="235" operator="equal">
      <formula>"未完成"</formula>
    </cfRule>
    <cfRule type="cellIs" dxfId="0" priority="236" operator="equal">
      <formula>"未完成"</formula>
    </cfRule>
  </conditionalFormatting>
  <conditionalFormatting sqref="AJ216">
    <cfRule type="cellIs" dxfId="1" priority="226" operator="equal">
      <formula>"未完成"</formula>
    </cfRule>
    <cfRule type="cellIs" dxfId="0" priority="227" operator="equal">
      <formula>"未完成"</formula>
    </cfRule>
  </conditionalFormatting>
  <conditionalFormatting sqref="AK216">
    <cfRule type="cellIs" dxfId="1" priority="220" operator="equal">
      <formula>"未完成"</formula>
    </cfRule>
    <cfRule type="cellIs" dxfId="0" priority="221" operator="equal">
      <formula>"未完成"</formula>
    </cfRule>
  </conditionalFormatting>
  <conditionalFormatting sqref="AM216">
    <cfRule type="cellIs" dxfId="1" priority="228" operator="equal">
      <formula>"未完成"</formula>
    </cfRule>
    <cfRule type="cellIs" dxfId="0" priority="229" operator="equal">
      <formula>"未完成"</formula>
    </cfRule>
  </conditionalFormatting>
  <conditionalFormatting sqref="AN216">
    <cfRule type="cellIs" dxfId="1" priority="230" operator="equal">
      <formula>"未完成"</formula>
    </cfRule>
    <cfRule type="cellIs" dxfId="0" priority="231" operator="equal">
      <formula>"未完成"</formula>
    </cfRule>
  </conditionalFormatting>
  <conditionalFormatting sqref="AQ216">
    <cfRule type="cellIs" dxfId="1" priority="224" operator="equal">
      <formula>"未完成"</formula>
    </cfRule>
    <cfRule type="cellIs" dxfId="0" priority="225" operator="equal">
      <formula>"未完成"</formula>
    </cfRule>
  </conditionalFormatting>
  <conditionalFormatting sqref="AR216:AS216">
    <cfRule type="cellIs" dxfId="1" priority="232" operator="equal">
      <formula>"未完成"</formula>
    </cfRule>
    <cfRule type="cellIs" dxfId="0" priority="233" operator="equal">
      <formula>"未完成"</formula>
    </cfRule>
  </conditionalFormatting>
  <conditionalFormatting sqref="R217">
    <cfRule type="cellIs" dxfId="0" priority="193" operator="equal">
      <formula>"欠"</formula>
    </cfRule>
  </conditionalFormatting>
  <conditionalFormatting sqref="S217">
    <cfRule type="cellIs" dxfId="0" priority="194" operator="equal">
      <formula>"欠"</formula>
    </cfRule>
  </conditionalFormatting>
  <conditionalFormatting sqref="T217">
    <cfRule type="cellIs" dxfId="0" priority="192" operator="equal">
      <formula>"欠"</formula>
    </cfRule>
  </conditionalFormatting>
  <conditionalFormatting sqref="AC217">
    <cfRule type="cellIs" dxfId="0" priority="191" operator="equal">
      <formula>"未完成"</formula>
    </cfRule>
    <cfRule type="cellIs" dxfId="1" priority="190" operator="equal">
      <formula>"未完成"</formula>
    </cfRule>
  </conditionalFormatting>
  <conditionalFormatting sqref="AD217">
    <cfRule type="cellIs" dxfId="0" priority="198" operator="equal">
      <formula>"未完成"</formula>
    </cfRule>
    <cfRule type="cellIs" dxfId="1" priority="197" operator="equal">
      <formula>"未完成"</formula>
    </cfRule>
  </conditionalFormatting>
  <conditionalFormatting sqref="R218">
    <cfRule type="cellIs" dxfId="0" priority="184" operator="equal">
      <formula>"欠"</formula>
    </cfRule>
  </conditionalFormatting>
  <conditionalFormatting sqref="S218">
    <cfRule type="cellIs" dxfId="0" priority="185" operator="equal">
      <formula>"欠"</formula>
    </cfRule>
  </conditionalFormatting>
  <conditionalFormatting sqref="T218">
    <cfRule type="cellIs" dxfId="0" priority="183" operator="equal">
      <formula>"欠"</formula>
    </cfRule>
  </conditionalFormatting>
  <conditionalFormatting sqref="AC218">
    <cfRule type="cellIs" dxfId="0" priority="182" operator="equal">
      <formula>"未完成"</formula>
    </cfRule>
    <cfRule type="cellIs" dxfId="1" priority="181" operator="equal">
      <formula>"未完成"</formula>
    </cfRule>
  </conditionalFormatting>
  <conditionalFormatting sqref="AD218">
    <cfRule type="cellIs" dxfId="0" priority="189" operator="equal">
      <formula>"未完成"</formula>
    </cfRule>
    <cfRule type="cellIs" dxfId="1" priority="188" operator="equal">
      <formula>"未完成"</formula>
    </cfRule>
  </conditionalFormatting>
  <conditionalFormatting sqref="R219">
    <cfRule type="cellIs" dxfId="0" priority="163" operator="equal">
      <formula>"欠"</formula>
    </cfRule>
  </conditionalFormatting>
  <conditionalFormatting sqref="T219">
    <cfRule type="cellIs" dxfId="0" priority="162" operator="equal">
      <formula>"欠"</formula>
    </cfRule>
  </conditionalFormatting>
  <conditionalFormatting sqref="AC219">
    <cfRule type="cellIs" dxfId="0" priority="174" operator="equal">
      <formula>"未完成"</formula>
    </cfRule>
  </conditionalFormatting>
  <conditionalFormatting sqref="AG219:AH219">
    <cfRule type="cellIs" dxfId="0" priority="176" operator="equal">
      <formula>"未完成"</formula>
    </cfRule>
    <cfRule type="cellIs" dxfId="1" priority="175" operator="equal">
      <formula>"未完成"</formula>
    </cfRule>
  </conditionalFormatting>
  <conditionalFormatting sqref="AI219">
    <cfRule type="cellIs" dxfId="0" priority="178" operator="equal">
      <formula>"未完成"</formula>
    </cfRule>
    <cfRule type="cellIs" dxfId="1" priority="177" operator="equal">
      <formula>"未完成"</formula>
    </cfRule>
  </conditionalFormatting>
  <conditionalFormatting sqref="AJ219">
    <cfRule type="cellIs" dxfId="0" priority="167" operator="equal">
      <formula>"未完成"</formula>
    </cfRule>
    <cfRule type="cellIs" dxfId="1" priority="166" operator="equal">
      <formula>"未完成"</formula>
    </cfRule>
  </conditionalFormatting>
  <conditionalFormatting sqref="AK219">
    <cfRule type="cellIs" dxfId="0" priority="161" operator="equal">
      <formula>"未完成"</formula>
    </cfRule>
    <cfRule type="cellIs" dxfId="1" priority="160" operator="equal">
      <formula>"未完成"</formula>
    </cfRule>
  </conditionalFormatting>
  <conditionalFormatting sqref="AM219">
    <cfRule type="cellIs" dxfId="0" priority="169" operator="equal">
      <formula>"未完成"</formula>
    </cfRule>
    <cfRule type="cellIs" dxfId="1" priority="168" operator="equal">
      <formula>"未完成"</formula>
    </cfRule>
  </conditionalFormatting>
  <conditionalFormatting sqref="AN219">
    <cfRule type="cellIs" dxfId="0" priority="171" operator="equal">
      <formula>"未完成"</formula>
    </cfRule>
    <cfRule type="cellIs" dxfId="1" priority="170" operator="equal">
      <formula>"未完成"</formula>
    </cfRule>
  </conditionalFormatting>
  <conditionalFormatting sqref="AP219">
    <cfRule type="cellIs" dxfId="0" priority="180" operator="equal">
      <formula>"未完成"</formula>
    </cfRule>
    <cfRule type="cellIs" dxfId="1" priority="179" operator="equal">
      <formula>"未完成"</formula>
    </cfRule>
  </conditionalFormatting>
  <conditionalFormatting sqref="AQ219">
    <cfRule type="cellIs" dxfId="0" priority="165" operator="equal">
      <formula>"未完成"</formula>
    </cfRule>
    <cfRule type="cellIs" dxfId="1" priority="164" operator="equal">
      <formula>"未完成"</formula>
    </cfRule>
  </conditionalFormatting>
  <conditionalFormatting sqref="AR219:AS219">
    <cfRule type="cellIs" dxfId="0" priority="173" operator="equal">
      <formula>"未完成"</formula>
    </cfRule>
    <cfRule type="cellIs" dxfId="1" priority="172" operator="equal">
      <formula>"未完成"</formula>
    </cfRule>
  </conditionalFormatting>
  <conditionalFormatting sqref="R220">
    <cfRule type="cellIs" dxfId="0" priority="146" operator="equal">
      <formula>"欠"</formula>
    </cfRule>
  </conditionalFormatting>
  <conditionalFormatting sqref="T220">
    <cfRule type="cellIs" dxfId="0" priority="139" operator="equal">
      <formula>"欠"</formula>
    </cfRule>
  </conditionalFormatting>
  <conditionalFormatting sqref="AC220">
    <cfRule type="cellIs" dxfId="0" priority="157" operator="equal">
      <formula>"未完成"</formula>
    </cfRule>
  </conditionalFormatting>
  <conditionalFormatting sqref="AG220:AH220">
    <cfRule type="cellIs" dxfId="0" priority="159" operator="equal">
      <formula>"未完成"</formula>
    </cfRule>
    <cfRule type="cellIs" dxfId="1" priority="158" operator="equal">
      <formula>"未完成"</formula>
    </cfRule>
  </conditionalFormatting>
  <conditionalFormatting sqref="AI220">
    <cfRule type="cellIs" dxfId="0" priority="148" operator="equal">
      <formula>"未完成"</formula>
    </cfRule>
    <cfRule type="cellIs" dxfId="1" priority="147" operator="equal">
      <formula>"未完成"</formula>
    </cfRule>
  </conditionalFormatting>
  <conditionalFormatting sqref="AJ220">
    <cfRule type="cellIs" dxfId="0" priority="152" operator="equal">
      <formula>"未完成"</formula>
    </cfRule>
    <cfRule type="cellIs" dxfId="1" priority="151" operator="equal">
      <formula>"未完成"</formula>
    </cfRule>
  </conditionalFormatting>
  <conditionalFormatting sqref="AK220">
    <cfRule type="cellIs" dxfId="0" priority="143" operator="equal">
      <formula>"未完成"</formula>
    </cfRule>
    <cfRule type="cellIs" dxfId="1" priority="142" operator="equal">
      <formula>"未完成"</formula>
    </cfRule>
  </conditionalFormatting>
  <conditionalFormatting sqref="AM220">
    <cfRule type="cellIs" dxfId="0" priority="141" operator="equal">
      <formula>"未完成"</formula>
    </cfRule>
    <cfRule type="cellIs" dxfId="1" priority="140" operator="equal">
      <formula>"未完成"</formula>
    </cfRule>
  </conditionalFormatting>
  <conditionalFormatting sqref="AN220">
    <cfRule type="cellIs" dxfId="0" priority="154" operator="equal">
      <formula>"未完成"</formula>
    </cfRule>
    <cfRule type="cellIs" dxfId="1" priority="153" operator="equal">
      <formula>"未完成"</formula>
    </cfRule>
  </conditionalFormatting>
  <conditionalFormatting sqref="AP220">
    <cfRule type="cellIs" dxfId="0" priority="145" operator="equal">
      <formula>"未完成"</formula>
    </cfRule>
    <cfRule type="cellIs" dxfId="1" priority="144" operator="equal">
      <formula>"未完成"</formula>
    </cfRule>
  </conditionalFormatting>
  <conditionalFormatting sqref="AQ220">
    <cfRule type="cellIs" dxfId="0" priority="150" operator="equal">
      <formula>"未完成"</formula>
    </cfRule>
    <cfRule type="cellIs" dxfId="1" priority="149" operator="equal">
      <formula>"未完成"</formula>
    </cfRule>
  </conditionalFormatting>
  <conditionalFormatting sqref="AR220:AS220">
    <cfRule type="cellIs" dxfId="0" priority="156" operator="equal">
      <formula>"未完成"</formula>
    </cfRule>
    <cfRule type="cellIs" dxfId="1" priority="155" operator="equal">
      <formula>"未完成"</formula>
    </cfRule>
  </conditionalFormatting>
  <conditionalFormatting sqref="R221:T221">
    <cfRule type="cellIs" dxfId="0" priority="121" operator="equal">
      <formula>"欠"</formula>
    </cfRule>
  </conditionalFormatting>
  <conditionalFormatting sqref="T221">
    <cfRule type="containsText" dxfId="2" priority="118" operator="between" text="欠">
      <formula>NOT(ISERROR(SEARCH("欠",T221)))</formula>
    </cfRule>
  </conditionalFormatting>
  <conditionalFormatting sqref="AC221">
    <cfRule type="cellIs" dxfId="0" priority="136" operator="equal">
      <formula>"未完成"</formula>
    </cfRule>
  </conditionalFormatting>
  <conditionalFormatting sqref="AE221">
    <cfRule type="cellIs" dxfId="0" priority="138" operator="equal">
      <formula>"未完成"</formula>
    </cfRule>
    <cfRule type="cellIs" dxfId="1" priority="137" operator="equal">
      <formula>"未完成"</formula>
    </cfRule>
  </conditionalFormatting>
  <conditionalFormatting sqref="AG221:AH221">
    <cfRule type="cellIs" dxfId="0" priority="135" operator="equal">
      <formula>"未完成"</formula>
    </cfRule>
    <cfRule type="cellIs" dxfId="1" priority="134" operator="equal">
      <formula>"未完成"</formula>
    </cfRule>
  </conditionalFormatting>
  <conditionalFormatting sqref="AI221">
    <cfRule type="cellIs" dxfId="0" priority="127" operator="equal">
      <formula>"未完成"</formula>
    </cfRule>
    <cfRule type="cellIs" dxfId="1" priority="126" operator="equal">
      <formula>"未完成"</formula>
    </cfRule>
  </conditionalFormatting>
  <conditionalFormatting sqref="AJ221">
    <cfRule type="cellIs" dxfId="0" priority="131" operator="equal">
      <formula>"未完成"</formula>
    </cfRule>
    <cfRule type="cellIs" dxfId="1" priority="130" operator="equal">
      <formula>"未完成"</formula>
    </cfRule>
  </conditionalFormatting>
  <conditionalFormatting sqref="AK221">
    <cfRule type="cellIs" dxfId="0" priority="129" operator="equal">
      <formula>"未完成"</formula>
    </cfRule>
    <cfRule type="cellIs" dxfId="1" priority="128" operator="equal">
      <formula>"未完成"</formula>
    </cfRule>
  </conditionalFormatting>
  <conditionalFormatting sqref="AN221">
    <cfRule type="cellIs" dxfId="0" priority="120" operator="equal">
      <formula>"未完成"</formula>
    </cfRule>
    <cfRule type="cellIs" dxfId="1" priority="119" operator="equal">
      <formula>"未完成"</formula>
    </cfRule>
  </conditionalFormatting>
  <conditionalFormatting sqref="AO221">
    <cfRule type="cellIs" dxfId="0" priority="125" operator="equal">
      <formula>"未完成"</formula>
    </cfRule>
    <cfRule type="cellIs" dxfId="1" priority="124" operator="equal">
      <formula>"未完成"</formula>
    </cfRule>
  </conditionalFormatting>
  <conditionalFormatting sqref="AR221">
    <cfRule type="cellIs" dxfId="0" priority="123" operator="equal">
      <formula>"未完成"</formula>
    </cfRule>
    <cfRule type="cellIs" dxfId="1" priority="122" operator="equal">
      <formula>"未完成"</formula>
    </cfRule>
  </conditionalFormatting>
  <conditionalFormatting sqref="AS221:AU221">
    <cfRule type="cellIs" dxfId="0" priority="133" operator="equal">
      <formula>"未完成"</formula>
    </cfRule>
    <cfRule type="cellIs" dxfId="1" priority="132" operator="equal">
      <formula>"未完成"</formula>
    </cfRule>
  </conditionalFormatting>
  <conditionalFormatting sqref="R222">
    <cfRule type="cellIs" dxfId="0" priority="104" operator="equal">
      <formula>"欠"</formula>
    </cfRule>
  </conditionalFormatting>
  <conditionalFormatting sqref="S222">
    <cfRule type="cellIs" dxfId="0" priority="99" operator="equal">
      <formula>"欠"</formula>
    </cfRule>
  </conditionalFormatting>
  <conditionalFormatting sqref="T222">
    <cfRule type="containsText" dxfId="2" priority="101" operator="between" text="欠">
      <formula>NOT(ISERROR(SEARCH("欠",T222)))</formula>
    </cfRule>
    <cfRule type="cellIs" dxfId="0" priority="100" operator="equal">
      <formula>"欠"</formula>
    </cfRule>
  </conditionalFormatting>
  <conditionalFormatting sqref="AC222">
    <cfRule type="cellIs" dxfId="0" priority="111" operator="equal">
      <formula>"未完成"</formula>
    </cfRule>
    <cfRule type="cellIs" dxfId="1" priority="110" operator="equal">
      <formula>"未完成"</formula>
    </cfRule>
  </conditionalFormatting>
  <conditionalFormatting sqref="AD222">
    <cfRule type="cellIs" dxfId="0" priority="113" operator="equal">
      <formula>"未完成"</formula>
    </cfRule>
    <cfRule type="cellIs" dxfId="1" priority="112" operator="equal">
      <formula>"未完成"</formula>
    </cfRule>
  </conditionalFormatting>
  <conditionalFormatting sqref="AE222:AF222">
    <cfRule type="cellIs" dxfId="0" priority="117" operator="equal">
      <formula>"未完成"</formula>
    </cfRule>
    <cfRule type="cellIs" dxfId="1" priority="116" operator="equal">
      <formula>"未完成"</formula>
    </cfRule>
  </conditionalFormatting>
  <conditionalFormatting sqref="AG222:AI222">
    <cfRule type="cellIs" dxfId="0" priority="115" operator="equal">
      <formula>"未完成"</formula>
    </cfRule>
    <cfRule type="cellIs" dxfId="1" priority="114" operator="equal">
      <formula>"未完成"</formula>
    </cfRule>
  </conditionalFormatting>
  <conditionalFormatting sqref="AJ222">
    <cfRule type="cellIs" dxfId="0" priority="108" operator="equal">
      <formula>"未完成"</formula>
    </cfRule>
    <cfRule type="cellIs" dxfId="1" priority="107" operator="equal">
      <formula>"未完成"</formula>
    </cfRule>
  </conditionalFormatting>
  <conditionalFormatting sqref="AN222">
    <cfRule type="cellIs" dxfId="0" priority="103" operator="equal">
      <formula>"未完成"</formula>
    </cfRule>
    <cfRule type="cellIs" dxfId="1" priority="102" operator="equal">
      <formula>"未完成"</formula>
    </cfRule>
  </conditionalFormatting>
  <conditionalFormatting sqref="AR222">
    <cfRule type="cellIs" dxfId="0" priority="106" operator="equal">
      <formula>"未完成"</formula>
    </cfRule>
    <cfRule type="cellIs" dxfId="1" priority="105" operator="equal">
      <formula>"未完成"</formula>
    </cfRule>
  </conditionalFormatting>
  <conditionalFormatting sqref="R223">
    <cfRule type="cellIs" dxfId="0" priority="90" operator="equal">
      <formula>"欠"</formula>
    </cfRule>
  </conditionalFormatting>
  <conditionalFormatting sqref="S223">
    <cfRule type="cellIs" dxfId="0" priority="77" operator="equal">
      <formula>"欠"</formula>
    </cfRule>
  </conditionalFormatting>
  <conditionalFormatting sqref="T223">
    <cfRule type="containsText" dxfId="2" priority="76" operator="between" text="欠">
      <formula>NOT(ISERROR(SEARCH("欠",T223)))</formula>
    </cfRule>
    <cfRule type="cellIs" dxfId="0" priority="75" operator="equal">
      <formula>"欠"</formula>
    </cfRule>
  </conditionalFormatting>
  <conditionalFormatting sqref="AC223">
    <cfRule type="cellIs" dxfId="1" priority="81" operator="equal">
      <formula>"未完成"</formula>
    </cfRule>
    <cfRule type="cellIs" dxfId="0" priority="80" operator="equal">
      <formula>"未完成"</formula>
    </cfRule>
  </conditionalFormatting>
  <conditionalFormatting sqref="AD223">
    <cfRule type="cellIs" dxfId="0" priority="83" operator="equal">
      <formula>"未完成"</formula>
    </cfRule>
    <cfRule type="cellIs" dxfId="1" priority="82" operator="equal">
      <formula>"未完成"</formula>
    </cfRule>
  </conditionalFormatting>
  <conditionalFormatting sqref="AE223">
    <cfRule type="cellIs" dxfId="0" priority="98" operator="equal">
      <formula>"未完成"</formula>
    </cfRule>
    <cfRule type="cellIs" dxfId="1" priority="97" operator="equal">
      <formula>"未完成"</formula>
    </cfRule>
  </conditionalFormatting>
  <conditionalFormatting sqref="AF223">
    <cfRule type="cellIs" dxfId="0" priority="87" operator="equal">
      <formula>"未完成"</formula>
    </cfRule>
    <cfRule type="cellIs" dxfId="1" priority="86" operator="equal">
      <formula>"未完成"</formula>
    </cfRule>
  </conditionalFormatting>
  <conditionalFormatting sqref="AG223:AH223">
    <cfRule type="cellIs" dxfId="0" priority="85" operator="equal">
      <formula>"未完成"</formula>
    </cfRule>
    <cfRule type="cellIs" dxfId="1" priority="84" operator="equal">
      <formula>"未完成"</formula>
    </cfRule>
  </conditionalFormatting>
  <conditionalFormatting sqref="AI223">
    <cfRule type="cellIs" dxfId="0" priority="96" operator="equal">
      <formula>"未完成"</formula>
    </cfRule>
    <cfRule type="cellIs" dxfId="1" priority="95" operator="equal">
      <formula>"未完成"</formula>
    </cfRule>
  </conditionalFormatting>
  <conditionalFormatting sqref="AJ223">
    <cfRule type="cellIs" dxfId="0" priority="89" operator="equal">
      <formula>"未完成"</formula>
    </cfRule>
    <cfRule type="cellIs" dxfId="1" priority="88" operator="equal">
      <formula>"未完成"</formula>
    </cfRule>
  </conditionalFormatting>
  <conditionalFormatting sqref="AM223">
    <cfRule type="cellIs" dxfId="0" priority="92" operator="equal">
      <formula>"未完成"</formula>
    </cfRule>
    <cfRule type="cellIs" dxfId="1" priority="91" operator="equal">
      <formula>"未完成"</formula>
    </cfRule>
  </conditionalFormatting>
  <conditionalFormatting sqref="AO223">
    <cfRule type="cellIs" dxfId="0" priority="79" operator="equal">
      <formula>"未完成"</formula>
    </cfRule>
    <cfRule type="cellIs" dxfId="1" priority="78" operator="equal">
      <formula>"未完成"</formula>
    </cfRule>
  </conditionalFormatting>
  <conditionalFormatting sqref="AS223">
    <cfRule type="cellIs" dxfId="0" priority="94" operator="equal">
      <formula>"未完成"</formula>
    </cfRule>
    <cfRule type="cellIs" dxfId="1" priority="93" operator="equal">
      <formula>"未完成"</formula>
    </cfRule>
  </conditionalFormatting>
  <conditionalFormatting sqref="R228">
    <cfRule type="cellIs" dxfId="0" priority="42" operator="equal">
      <formula>"欠"</formula>
    </cfRule>
  </conditionalFormatting>
  <conditionalFormatting sqref="S228">
    <cfRule type="cellIs" dxfId="0" priority="31" operator="equal">
      <formula>"欠"</formula>
    </cfRule>
  </conditionalFormatting>
  <conditionalFormatting sqref="T228">
    <cfRule type="cellIs" dxfId="0" priority="30" operator="equal">
      <formula>"欠"</formula>
    </cfRule>
  </conditionalFormatting>
  <conditionalFormatting sqref="AC228">
    <cfRule type="cellIs" dxfId="1" priority="34" operator="equal">
      <formula>"未完成"</formula>
    </cfRule>
    <cfRule type="cellIs" dxfId="0" priority="35" operator="equal">
      <formula>"未完成"</formula>
    </cfRule>
  </conditionalFormatting>
  <conditionalFormatting sqref="AD228">
    <cfRule type="cellIs" dxfId="1" priority="36" operator="equal">
      <formula>"未完成"</formula>
    </cfRule>
    <cfRule type="cellIs" dxfId="0" priority="37" operator="equal">
      <formula>"未完成"</formula>
    </cfRule>
  </conditionalFormatting>
  <conditionalFormatting sqref="AE228">
    <cfRule type="cellIs" dxfId="1" priority="49" operator="equal">
      <formula>"未完成"</formula>
    </cfRule>
    <cfRule type="cellIs" dxfId="0" priority="50" operator="equal">
      <formula>"未完成"</formula>
    </cfRule>
  </conditionalFormatting>
  <conditionalFormatting sqref="AF228">
    <cfRule type="cellIs" dxfId="1" priority="40" operator="equal">
      <formula>"未完成"</formula>
    </cfRule>
    <cfRule type="cellIs" dxfId="0" priority="41" operator="equal">
      <formula>"未完成"</formula>
    </cfRule>
  </conditionalFormatting>
  <conditionalFormatting sqref="AG228">
    <cfRule type="cellIs" dxfId="1" priority="38" operator="equal">
      <formula>"未完成"</formula>
    </cfRule>
    <cfRule type="cellIs" dxfId="0" priority="39" operator="equal">
      <formula>"未完成"</formula>
    </cfRule>
  </conditionalFormatting>
  <conditionalFormatting sqref="AH228:AI228">
    <cfRule type="cellIs" dxfId="1" priority="47" operator="equal">
      <formula>"未完成"</formula>
    </cfRule>
    <cfRule type="cellIs" dxfId="0" priority="48" operator="equal">
      <formula>"未完成"</formula>
    </cfRule>
  </conditionalFormatting>
  <conditionalFormatting sqref="AJ228">
    <cfRule type="cellIs" dxfId="1" priority="28" operator="equal">
      <formula>"未完成"</formula>
    </cfRule>
    <cfRule type="cellIs" dxfId="0" priority="29" operator="equal">
      <formula>"未完成"</formula>
    </cfRule>
  </conditionalFormatting>
  <conditionalFormatting sqref="AM228">
    <cfRule type="cellIs" dxfId="1" priority="43" operator="equal">
      <formula>"未完成"</formula>
    </cfRule>
    <cfRule type="cellIs" dxfId="0" priority="44" operator="equal">
      <formula>"未完成"</formula>
    </cfRule>
  </conditionalFormatting>
  <conditionalFormatting sqref="AO228">
    <cfRule type="cellIs" dxfId="1" priority="32" operator="equal">
      <formula>"未完成"</formula>
    </cfRule>
    <cfRule type="cellIs" dxfId="0" priority="33" operator="equal">
      <formula>"未完成"</formula>
    </cfRule>
  </conditionalFormatting>
  <conditionalFormatting sqref="AR228">
    <cfRule type="cellIs" dxfId="1" priority="26" operator="equal">
      <formula>"未完成"</formula>
    </cfRule>
    <cfRule type="cellIs" dxfId="0" priority="27" operator="equal">
      <formula>"未完成"</formula>
    </cfRule>
  </conditionalFormatting>
  <conditionalFormatting sqref="AS228">
    <cfRule type="cellIs" dxfId="1" priority="45" operator="equal">
      <formula>"未完成"</formula>
    </cfRule>
    <cfRule type="cellIs" dxfId="0" priority="46" operator="equal">
      <formula>"未完成"</formula>
    </cfRule>
  </conditionalFormatting>
  <conditionalFormatting sqref="R229">
    <cfRule type="cellIs" dxfId="0" priority="19" operator="equal">
      <formula>"欠"</formula>
    </cfRule>
  </conditionalFormatting>
  <conditionalFormatting sqref="S229">
    <cfRule type="cellIs" dxfId="0" priority="18" operator="equal">
      <formula>"欠"</formula>
    </cfRule>
  </conditionalFormatting>
  <conditionalFormatting sqref="T229">
    <cfRule type="cellIs" dxfId="0" priority="5" operator="equal">
      <formula>"欠"</formula>
    </cfRule>
  </conditionalFormatting>
  <conditionalFormatting sqref="AC229">
    <cfRule type="cellIs" dxfId="0" priority="9" operator="equal">
      <formula>"未完成"</formula>
    </cfRule>
    <cfRule type="cellIs" dxfId="1" priority="8" operator="equal">
      <formula>"未完成"</formula>
    </cfRule>
  </conditionalFormatting>
  <conditionalFormatting sqref="AD229">
    <cfRule type="cellIs" dxfId="0" priority="11" operator="equal">
      <formula>"未完成"</formula>
    </cfRule>
    <cfRule type="cellIs" dxfId="1" priority="10" operator="equal">
      <formula>"未完成"</formula>
    </cfRule>
  </conditionalFormatting>
  <conditionalFormatting sqref="AE229">
    <cfRule type="cellIs" dxfId="0" priority="25" operator="equal">
      <formula>"未完成"</formula>
    </cfRule>
    <cfRule type="cellIs" dxfId="1" priority="24" operator="equal">
      <formula>"未完成"</formula>
    </cfRule>
  </conditionalFormatting>
  <conditionalFormatting sqref="AF229">
    <cfRule type="cellIs" dxfId="0" priority="15" operator="equal">
      <formula>"未完成"</formula>
    </cfRule>
    <cfRule type="cellIs" dxfId="1" priority="14" operator="equal">
      <formula>"未完成"</formula>
    </cfRule>
  </conditionalFormatting>
  <conditionalFormatting sqref="AG229">
    <cfRule type="cellIs" dxfId="0" priority="13" operator="equal">
      <formula>"未完成"</formula>
    </cfRule>
    <cfRule type="cellIs" dxfId="1" priority="12" operator="equal">
      <formula>"未完成"</formula>
    </cfRule>
  </conditionalFormatting>
  <conditionalFormatting sqref="AH229:AI229">
    <cfRule type="cellIs" dxfId="0" priority="23" operator="equal">
      <formula>"未完成"</formula>
    </cfRule>
    <cfRule type="cellIs" dxfId="1" priority="22" operator="equal">
      <formula>"未完成"</formula>
    </cfRule>
  </conditionalFormatting>
  <conditionalFormatting sqref="AJ229">
    <cfRule type="cellIs" dxfId="0" priority="4" operator="equal">
      <formula>"未完成"</formula>
    </cfRule>
    <cfRule type="cellIs" dxfId="1" priority="3" operator="equal">
      <formula>"未完成"</formula>
    </cfRule>
  </conditionalFormatting>
  <conditionalFormatting sqref="AM229">
    <cfRule type="cellIs" dxfId="0" priority="17" operator="equal">
      <formula>"未完成"</formula>
    </cfRule>
    <cfRule type="cellIs" dxfId="1" priority="16" operator="equal">
      <formula>"未完成"</formula>
    </cfRule>
  </conditionalFormatting>
  <conditionalFormatting sqref="AO229">
    <cfRule type="cellIs" dxfId="0" priority="7" operator="equal">
      <formula>"未完成"</formula>
    </cfRule>
    <cfRule type="cellIs" dxfId="1" priority="6" operator="equal">
      <formula>"未完成"</formula>
    </cfRule>
  </conditionalFormatting>
  <conditionalFormatting sqref="AR229">
    <cfRule type="cellIs" dxfId="0" priority="2" operator="equal">
      <formula>"未完成"</formula>
    </cfRule>
    <cfRule type="cellIs" dxfId="1" priority="1" operator="equal">
      <formula>"未完成"</formula>
    </cfRule>
  </conditionalFormatting>
  <conditionalFormatting sqref="AS229">
    <cfRule type="cellIs" dxfId="0" priority="21" operator="equal">
      <formula>"未完成"</formula>
    </cfRule>
    <cfRule type="cellIs" dxfId="1" priority="20" operator="equal">
      <formula>"未完成"</formula>
    </cfRule>
  </conditionalFormatting>
  <conditionalFormatting sqref="R118:R120">
    <cfRule type="cellIs" dxfId="0" priority="979" operator="equal">
      <formula>"欠"</formula>
    </cfRule>
  </conditionalFormatting>
  <conditionalFormatting sqref="R180:R182">
    <cfRule type="cellIs" dxfId="0" priority="632" operator="equal">
      <formula>"欠"</formula>
    </cfRule>
  </conditionalFormatting>
  <conditionalFormatting sqref="R201:R202">
    <cfRule type="cellIs" dxfId="0" priority="420" operator="equal">
      <formula>"欠"</formula>
    </cfRule>
  </conditionalFormatting>
  <conditionalFormatting sqref="R204:R205">
    <cfRule type="cellIs" dxfId="0" priority="384" operator="equal">
      <formula>"欠"</formula>
    </cfRule>
  </conditionalFormatting>
  <conditionalFormatting sqref="R210:R211">
    <cfRule type="cellIs" dxfId="0" priority="296" operator="equal">
      <formula>"欠"</formula>
    </cfRule>
  </conditionalFormatting>
  <conditionalFormatting sqref="R214:R215">
    <cfRule type="cellIs" dxfId="0" priority="246" operator="equal">
      <formula>"欠"</formula>
    </cfRule>
  </conditionalFormatting>
  <conditionalFormatting sqref="R224:R227">
    <cfRule type="cellIs" dxfId="0" priority="51" operator="equal">
      <formula>"欠"</formula>
    </cfRule>
  </conditionalFormatting>
  <conditionalFormatting sqref="S224:S227">
    <cfRule type="cellIs" dxfId="0" priority="64" operator="equal">
      <formula>"欠"</formula>
    </cfRule>
  </conditionalFormatting>
  <conditionalFormatting sqref="T149:T151">
    <cfRule type="cellIs" dxfId="0" priority="730" operator="equal">
      <formula>"欠"</formula>
    </cfRule>
  </conditionalFormatting>
  <conditionalFormatting sqref="T160:T171">
    <cfRule type="cellIs" dxfId="0" priority="658" operator="equal">
      <formula>"欠"</formula>
    </cfRule>
  </conditionalFormatting>
  <conditionalFormatting sqref="T173:T176">
    <cfRule type="cellIs" dxfId="0" priority="659" operator="equal">
      <formula>"欠"</formula>
    </cfRule>
  </conditionalFormatting>
  <conditionalFormatting sqref="T177:T178">
    <cfRule type="cellIs" dxfId="0" priority="651" operator="equal">
      <formula>"欠"</formula>
    </cfRule>
  </conditionalFormatting>
  <conditionalFormatting sqref="T190:T191">
    <cfRule type="cellIs" dxfId="0" priority="585" operator="equal">
      <formula>"欠"</formula>
    </cfRule>
  </conditionalFormatting>
  <conditionalFormatting sqref="T201:T202">
    <cfRule type="cellIs" dxfId="0" priority="419" operator="equal">
      <formula>"欠"</formula>
    </cfRule>
  </conditionalFormatting>
  <conditionalFormatting sqref="T204:T205">
    <cfRule type="cellIs" dxfId="0" priority="383" operator="equal">
      <formula>"欠"</formula>
    </cfRule>
  </conditionalFormatting>
  <conditionalFormatting sqref="T210:T211">
    <cfRule type="cellIs" dxfId="0" priority="287" operator="equal">
      <formula>"欠"</formula>
    </cfRule>
  </conditionalFormatting>
  <conditionalFormatting sqref="T214:T215">
    <cfRule type="cellIs" dxfId="0" priority="237" operator="equal">
      <formula>"欠"</formula>
    </cfRule>
  </conditionalFormatting>
  <conditionalFormatting sqref="T224:T227">
    <cfRule type="containsText" dxfId="2" priority="54" operator="between" text="欠">
      <formula>NOT(ISERROR(SEARCH("欠",T224)))</formula>
    </cfRule>
    <cfRule type="cellIs" dxfId="0" priority="55" operator="equal">
      <formula>"欠"</formula>
    </cfRule>
  </conditionalFormatting>
  <conditionalFormatting sqref="V2:V35">
    <cfRule type="cellIs" dxfId="0" priority="1436" operator="equal">
      <formula>"未完成"</formula>
    </cfRule>
  </conditionalFormatting>
  <conditionalFormatting sqref="W8:W13">
    <cfRule type="cellIs" dxfId="0" priority="1438" operator="equal">
      <formula>"欠"</formula>
    </cfRule>
  </conditionalFormatting>
  <conditionalFormatting sqref="Z36:Z37">
    <cfRule type="cellIs" dxfId="0" priority="1428" operator="equal">
      <formula>"未完成"</formula>
    </cfRule>
  </conditionalFormatting>
  <conditionalFormatting sqref="AB117:AB120">
    <cfRule type="cellIs" dxfId="0" priority="989" operator="equal">
      <formula>"未完成"</formula>
    </cfRule>
    <cfRule type="cellIs" dxfId="1" priority="990" operator="equal">
      <formula>"未完成"</formula>
    </cfRule>
  </conditionalFormatting>
  <conditionalFormatting sqref="AB127:AB128">
    <cfRule type="cellIs" dxfId="0" priority="897" operator="equal">
      <formula>"未完成"</formula>
    </cfRule>
    <cfRule type="cellIs" dxfId="1" priority="896" operator="equal">
      <formula>"未完成"</formula>
    </cfRule>
  </conditionalFormatting>
  <conditionalFormatting sqref="AB137:AB138">
    <cfRule type="cellIs" dxfId="0" priority="790" operator="equal">
      <formula>"未完成"</formula>
    </cfRule>
    <cfRule type="cellIs" dxfId="1" priority="792" operator="equal">
      <formula>"未完成"</formula>
    </cfRule>
  </conditionalFormatting>
  <conditionalFormatting sqref="AB139:AB140">
    <cfRule type="cellIs" dxfId="0" priority="807" operator="equal">
      <formula>"未完成"</formula>
    </cfRule>
  </conditionalFormatting>
  <conditionalFormatting sqref="AB142:AB144">
    <cfRule type="cellIs" dxfId="0" priority="764" operator="equal">
      <formula>"未完成"</formula>
    </cfRule>
  </conditionalFormatting>
  <conditionalFormatting sqref="AB148:AB151">
    <cfRule type="cellIs" dxfId="0" priority="736" operator="equal">
      <formula>"未完成"</formula>
    </cfRule>
  </conditionalFormatting>
  <conditionalFormatting sqref="AB160:AB176">
    <cfRule type="cellIs" dxfId="0" priority="678" operator="equal">
      <formula>"未完成"</formula>
    </cfRule>
  </conditionalFormatting>
  <conditionalFormatting sqref="AB177:AB178">
    <cfRule type="cellIs" dxfId="0" priority="654" operator="equal">
      <formula>"未完成"</formula>
    </cfRule>
  </conditionalFormatting>
  <conditionalFormatting sqref="AB179:AB182">
    <cfRule type="cellIs" dxfId="0" priority="641" operator="equal">
      <formula>"未完成"</formula>
    </cfRule>
  </conditionalFormatting>
  <conditionalFormatting sqref="AB186:AB187">
    <cfRule type="cellIs" dxfId="0" priority="609" operator="equal">
      <formula>"未完成"</formula>
    </cfRule>
  </conditionalFormatting>
  <conditionalFormatting sqref="AB188:AB189">
    <cfRule type="cellIs" dxfId="0" priority="602" operator="equal">
      <formula>"未完成"</formula>
    </cfRule>
  </conditionalFormatting>
  <conditionalFormatting sqref="AB190:AB191">
    <cfRule type="cellIs" dxfId="0" priority="590" operator="equal">
      <formula>"未完成"</formula>
    </cfRule>
  </conditionalFormatting>
  <conditionalFormatting sqref="AC117:AC120">
    <cfRule type="cellIs" dxfId="1" priority="992" operator="equal">
      <formula>"未完成"</formula>
    </cfRule>
    <cfRule type="cellIs" dxfId="0" priority="993" operator="equal">
      <formula>"未完成"</formula>
    </cfRule>
  </conditionalFormatting>
  <conditionalFormatting sqref="AC127:AC128">
    <cfRule type="cellIs" dxfId="0" priority="900" operator="equal">
      <formula>"未完成"</formula>
    </cfRule>
    <cfRule type="cellIs" dxfId="1" priority="899" operator="equal">
      <formula>"未完成"</formula>
    </cfRule>
  </conditionalFormatting>
  <conditionalFormatting sqref="AC129:AC130">
    <cfRule type="cellIs" dxfId="0" priority="889" operator="equal">
      <formula>"未完成"</formula>
    </cfRule>
    <cfRule type="cellIs" dxfId="1" priority="888" operator="equal">
      <formula>"未完成"</formula>
    </cfRule>
  </conditionalFormatting>
  <conditionalFormatting sqref="AC137:AC138">
    <cfRule type="cellIs" dxfId="1" priority="796" operator="equal">
      <formula>"未完成"</formula>
    </cfRule>
    <cfRule type="cellIs" dxfId="0" priority="798" operator="equal">
      <formula>"未完成"</formula>
    </cfRule>
  </conditionalFormatting>
  <conditionalFormatting sqref="AC201:AC202">
    <cfRule type="cellIs" dxfId="0" priority="429" operator="equal">
      <formula>"未完成"</formula>
    </cfRule>
  </conditionalFormatting>
  <conditionalFormatting sqref="AC204:AC205">
    <cfRule type="cellIs" dxfId="0" priority="391" operator="equal">
      <formula>"未完成"</formula>
    </cfRule>
  </conditionalFormatting>
  <conditionalFormatting sqref="AC210:AC211">
    <cfRule type="cellIs" dxfId="0" priority="303" operator="equal">
      <formula>"未完成"</formula>
    </cfRule>
  </conditionalFormatting>
  <conditionalFormatting sqref="AC214:AC215">
    <cfRule type="cellIs" dxfId="0" priority="253" operator="equal">
      <formula>"未完成"</formula>
    </cfRule>
  </conditionalFormatting>
  <conditionalFormatting sqref="AC224:AC227">
    <cfRule type="cellIs" dxfId="0" priority="56" operator="equal">
      <formula>"未完成"</formula>
    </cfRule>
    <cfRule type="cellIs" dxfId="1" priority="57" operator="equal">
      <formula>"未完成"</formula>
    </cfRule>
  </conditionalFormatting>
  <conditionalFormatting sqref="AD224:AD227">
    <cfRule type="cellIs" dxfId="1" priority="58" operator="equal">
      <formula>"未完成"</formula>
    </cfRule>
    <cfRule type="cellIs" dxfId="0" priority="59" operator="equal">
      <formula>"未完成"</formula>
    </cfRule>
  </conditionalFormatting>
  <conditionalFormatting sqref="AE224:AE227">
    <cfRule type="cellIs" dxfId="1" priority="71" operator="equal">
      <formula>"未完成"</formula>
    </cfRule>
    <cfRule type="cellIs" dxfId="0" priority="72" operator="equal">
      <formula>"未完成"</formula>
    </cfRule>
  </conditionalFormatting>
  <conditionalFormatting sqref="AF137:AF138">
    <cfRule type="cellIs" dxfId="1" priority="784" operator="equal">
      <formula>"未完成"</formula>
    </cfRule>
    <cfRule type="cellIs" dxfId="0" priority="785" operator="equal">
      <formula>"未完成"</formula>
    </cfRule>
  </conditionalFormatting>
  <conditionalFormatting sqref="AF190:AF191">
    <cfRule type="cellIs" dxfId="0" priority="591" operator="equal">
      <formula>"欠"</formula>
    </cfRule>
  </conditionalFormatting>
  <conditionalFormatting sqref="AF224:AF227">
    <cfRule type="cellIs" dxfId="1" priority="62" operator="equal">
      <formula>"未完成"</formula>
    </cfRule>
    <cfRule type="cellIs" dxfId="0" priority="63" operator="equal">
      <formula>"未完成"</formula>
    </cfRule>
  </conditionalFormatting>
  <conditionalFormatting sqref="AG137:AG138">
    <cfRule type="cellIs" dxfId="1" priority="800" operator="equal">
      <formula>"未完成"</formula>
    </cfRule>
    <cfRule type="cellIs" dxfId="0" priority="802" operator="equal">
      <formula>"未完成"</formula>
    </cfRule>
  </conditionalFormatting>
  <conditionalFormatting sqref="AH117:AH120">
    <cfRule type="cellIs" dxfId="0" priority="994" operator="equal">
      <formula>"欠"</formula>
    </cfRule>
  </conditionalFormatting>
  <conditionalFormatting sqref="AH127:AH128">
    <cfRule type="cellIs" dxfId="0" priority="901" operator="equal">
      <formula>"欠"</formula>
    </cfRule>
  </conditionalFormatting>
  <conditionalFormatting sqref="AH129:AH130">
    <cfRule type="cellIs" dxfId="0" priority="890" operator="equal">
      <formula>"欠"</formula>
    </cfRule>
  </conditionalFormatting>
  <conditionalFormatting sqref="AH139:AH140">
    <cfRule type="cellIs" dxfId="0" priority="808" operator="equal">
      <formula>"欠"</formula>
    </cfRule>
  </conditionalFormatting>
  <conditionalFormatting sqref="AH142:AH144">
    <cfRule type="cellIs" dxfId="0" priority="765" operator="equal">
      <formula>"欠"</formula>
    </cfRule>
  </conditionalFormatting>
  <conditionalFormatting sqref="AH148:AH151">
    <cfRule type="cellIs" dxfId="0" priority="737" operator="equal">
      <formula>"欠"</formula>
    </cfRule>
  </conditionalFormatting>
  <conditionalFormatting sqref="AH160:AH176">
    <cfRule type="cellIs" dxfId="0" priority="679" operator="equal">
      <formula>"欠"</formula>
    </cfRule>
  </conditionalFormatting>
  <conditionalFormatting sqref="AH177:AH178">
    <cfRule type="cellIs" dxfId="0" priority="655" operator="equal">
      <formula>"欠"</formula>
    </cfRule>
  </conditionalFormatting>
  <conditionalFormatting sqref="AH179:AH182">
    <cfRule type="cellIs" dxfId="0" priority="642" operator="equal">
      <formula>"欠"</formula>
    </cfRule>
  </conditionalFormatting>
  <conditionalFormatting sqref="AI201:AI202">
    <cfRule type="cellIs" dxfId="0" priority="433" operator="equal">
      <formula>"未完成"</formula>
    </cfRule>
    <cfRule type="cellIs" dxfId="1" priority="432" operator="equal">
      <formula>"未完成"</formula>
    </cfRule>
  </conditionalFormatting>
  <conditionalFormatting sqref="AI204:AI205">
    <cfRule type="cellIs" dxfId="0" priority="395" operator="equal">
      <formula>"未完成"</formula>
    </cfRule>
    <cfRule type="cellIs" dxfId="1" priority="394" operator="equal">
      <formula>"未完成"</formula>
    </cfRule>
  </conditionalFormatting>
  <conditionalFormatting sqref="AI210:AI211">
    <cfRule type="cellIs" dxfId="0" priority="307" operator="equal">
      <formula>"未完成"</formula>
    </cfRule>
    <cfRule type="cellIs" dxfId="1" priority="306" operator="equal">
      <formula>"未完成"</formula>
    </cfRule>
  </conditionalFormatting>
  <conditionalFormatting sqref="AI214:AI215">
    <cfRule type="cellIs" dxfId="1" priority="256" operator="equal">
      <formula>"未完成"</formula>
    </cfRule>
    <cfRule type="cellIs" dxfId="0" priority="257" operator="equal">
      <formula>"未完成"</formula>
    </cfRule>
  </conditionalFormatting>
  <conditionalFormatting sqref="AI224:AI227">
    <cfRule type="cellIs" dxfId="1" priority="73" operator="equal">
      <formula>"未完成"</formula>
    </cfRule>
    <cfRule type="cellIs" dxfId="0" priority="74" operator="equal">
      <formula>"未完成"</formula>
    </cfRule>
  </conditionalFormatting>
  <conditionalFormatting sqref="AJ201:AJ202">
    <cfRule type="cellIs" dxfId="0" priority="424" operator="equal">
      <formula>"未完成"</formula>
    </cfRule>
    <cfRule type="cellIs" dxfId="1" priority="423" operator="equal">
      <formula>"未完成"</formula>
    </cfRule>
  </conditionalFormatting>
  <conditionalFormatting sqref="AJ204:AJ205">
    <cfRule type="cellIs" dxfId="0" priority="380" operator="equal">
      <formula>"未完成"</formula>
    </cfRule>
    <cfRule type="cellIs" dxfId="1" priority="379" operator="equal">
      <formula>"未完成"</formula>
    </cfRule>
  </conditionalFormatting>
  <conditionalFormatting sqref="AJ210:AJ211">
    <cfRule type="cellIs" dxfId="0" priority="293" operator="equal">
      <formula>"未完成"</formula>
    </cfRule>
    <cfRule type="cellIs" dxfId="1" priority="292" operator="equal">
      <formula>"未完成"</formula>
    </cfRule>
  </conditionalFormatting>
  <conditionalFormatting sqref="AJ214:AJ215">
    <cfRule type="cellIs" dxfId="1" priority="242" operator="equal">
      <formula>"未完成"</formula>
    </cfRule>
    <cfRule type="cellIs" dxfId="0" priority="243" operator="equal">
      <formula>"未完成"</formula>
    </cfRule>
  </conditionalFormatting>
  <conditionalFormatting sqref="AJ224:AJ227">
    <cfRule type="cellIs" dxfId="1" priority="67" operator="equal">
      <formula>"未完成"</formula>
    </cfRule>
    <cfRule type="cellIs" dxfId="0" priority="68" operator="equal">
      <formula>"未完成"</formula>
    </cfRule>
  </conditionalFormatting>
  <conditionalFormatting sqref="AK201:AK202">
    <cfRule type="cellIs" dxfId="0" priority="418" operator="equal">
      <formula>"未完成"</formula>
    </cfRule>
    <cfRule type="cellIs" dxfId="1" priority="417" operator="equal">
      <formula>"未完成"</formula>
    </cfRule>
  </conditionalFormatting>
  <conditionalFormatting sqref="AK204:AK205">
    <cfRule type="cellIs" dxfId="0" priority="378" operator="equal">
      <formula>"未完成"</formula>
    </cfRule>
    <cfRule type="cellIs" dxfId="1" priority="377" operator="equal">
      <formula>"未完成"</formula>
    </cfRule>
  </conditionalFormatting>
  <conditionalFormatting sqref="AK210:AK211">
    <cfRule type="cellIs" dxfId="0" priority="289" operator="equal">
      <formula>"未完成"</formula>
    </cfRule>
    <cfRule type="cellIs" dxfId="1" priority="288" operator="equal">
      <formula>"未完成"</formula>
    </cfRule>
  </conditionalFormatting>
  <conditionalFormatting sqref="AK214:AK215">
    <cfRule type="cellIs" dxfId="1" priority="238" operator="equal">
      <formula>"未完成"</formula>
    </cfRule>
    <cfRule type="cellIs" dxfId="0" priority="239" operator="equal">
      <formula>"未完成"</formula>
    </cfRule>
  </conditionalFormatting>
  <conditionalFormatting sqref="AM204:AM205">
    <cfRule type="cellIs" dxfId="0" priority="382" operator="equal">
      <formula>"未完成"</formula>
    </cfRule>
    <cfRule type="cellIs" dxfId="1" priority="381" operator="equal">
      <formula>"未完成"</formula>
    </cfRule>
  </conditionalFormatting>
  <conditionalFormatting sqref="AM210:AM211">
    <cfRule type="cellIs" dxfId="0" priority="295" operator="equal">
      <formula>"未完成"</formula>
    </cfRule>
    <cfRule type="cellIs" dxfId="1" priority="294" operator="equal">
      <formula>"未完成"</formula>
    </cfRule>
  </conditionalFormatting>
  <conditionalFormatting sqref="AM214:AM215">
    <cfRule type="cellIs" dxfId="1" priority="244" operator="equal">
      <formula>"未完成"</formula>
    </cfRule>
    <cfRule type="cellIs" dxfId="0" priority="245" operator="equal">
      <formula>"未完成"</formula>
    </cfRule>
  </conditionalFormatting>
  <conditionalFormatting sqref="AM224:AM227">
    <cfRule type="cellIs" dxfId="1" priority="65" operator="equal">
      <formula>"未完成"</formula>
    </cfRule>
    <cfRule type="cellIs" dxfId="0" priority="66" operator="equal">
      <formula>"未完成"</formula>
    </cfRule>
  </conditionalFormatting>
  <conditionalFormatting sqref="AN204:AN205">
    <cfRule type="cellIs" dxfId="0" priority="386" operator="equal">
      <formula>"未完成"</formula>
    </cfRule>
    <cfRule type="cellIs" dxfId="1" priority="385" operator="equal">
      <formula>"未完成"</formula>
    </cfRule>
  </conditionalFormatting>
  <conditionalFormatting sqref="AN210:AN211">
    <cfRule type="cellIs" dxfId="0" priority="298" operator="equal">
      <formula>"未完成"</formula>
    </cfRule>
    <cfRule type="cellIs" dxfId="1" priority="297" operator="equal">
      <formula>"未完成"</formula>
    </cfRule>
  </conditionalFormatting>
  <conditionalFormatting sqref="AN214:AN215">
    <cfRule type="cellIs" dxfId="1" priority="247" operator="equal">
      <formula>"未完成"</formula>
    </cfRule>
    <cfRule type="cellIs" dxfId="0" priority="248" operator="equal">
      <formula>"未完成"</formula>
    </cfRule>
  </conditionalFormatting>
  <conditionalFormatting sqref="AO224:AO227">
    <cfRule type="cellIs" dxfId="1" priority="52" operator="equal">
      <formula>"未完成"</formula>
    </cfRule>
    <cfRule type="cellIs" dxfId="0" priority="53" operator="equal">
      <formula>"未完成"</formula>
    </cfRule>
  </conditionalFormatting>
  <conditionalFormatting sqref="AP201:AP202">
    <cfRule type="cellIs" dxfId="0" priority="426" operator="equal">
      <formula>"未完成"</formula>
    </cfRule>
    <cfRule type="cellIs" dxfId="1" priority="425" operator="equal">
      <formula>"未完成"</formula>
    </cfRule>
  </conditionalFormatting>
  <conditionalFormatting sqref="AP204:AP205">
    <cfRule type="cellIs" dxfId="0" priority="388" operator="equal">
      <formula>"未完成"</formula>
    </cfRule>
    <cfRule type="cellIs" dxfId="1" priority="387" operator="equal">
      <formula>"未完成"</formula>
    </cfRule>
  </conditionalFormatting>
  <conditionalFormatting sqref="AP210:AP211">
    <cfRule type="cellIs" dxfId="0" priority="300" operator="equal">
      <formula>"未完成"</formula>
    </cfRule>
    <cfRule type="cellIs" dxfId="1" priority="299" operator="equal">
      <formula>"未完成"</formula>
    </cfRule>
  </conditionalFormatting>
  <conditionalFormatting sqref="AP214:AP215">
    <cfRule type="cellIs" dxfId="1" priority="249" operator="equal">
      <formula>"未完成"</formula>
    </cfRule>
    <cfRule type="cellIs" dxfId="0" priority="250" operator="equal">
      <formula>"未完成"</formula>
    </cfRule>
  </conditionalFormatting>
  <conditionalFormatting sqref="AQ204:AQ205">
    <cfRule type="cellIs" dxfId="0" priority="376" operator="equal">
      <formula>"未完成"</formula>
    </cfRule>
    <cfRule type="cellIs" dxfId="1" priority="375" operator="equal">
      <formula>"未完成"</formula>
    </cfRule>
  </conditionalFormatting>
  <conditionalFormatting sqref="AQ210:AQ211">
    <cfRule type="cellIs" dxfId="0" priority="291" operator="equal">
      <formula>"未完成"</formula>
    </cfRule>
    <cfRule type="cellIs" dxfId="1" priority="290" operator="equal">
      <formula>"未完成"</formula>
    </cfRule>
  </conditionalFormatting>
  <conditionalFormatting sqref="AQ214:AQ215">
    <cfRule type="cellIs" dxfId="1" priority="240" operator="equal">
      <formula>"未完成"</formula>
    </cfRule>
    <cfRule type="cellIs" dxfId="0" priority="241" operator="equal">
      <formula>"未完成"</formula>
    </cfRule>
  </conditionalFormatting>
  <conditionalFormatting sqref="AS224:AS227">
    <cfRule type="cellIs" dxfId="1" priority="69" operator="equal">
      <formula>"未完成"</formula>
    </cfRule>
    <cfRule type="cellIs" dxfId="0" priority="70" operator="equal">
      <formula>"未完成"</formula>
    </cfRule>
  </conditionalFormatting>
  <conditionalFormatting sqref="AC1 W1:X1">
    <cfRule type="cellIs" dxfId="0" priority="1435" operator="equal">
      <formula>"欠"</formula>
    </cfRule>
  </conditionalFormatting>
  <conditionalFormatting sqref="V2:V13 Y2:AB13">
    <cfRule type="cellIs" dxfId="1" priority="1443" operator="equal">
      <formula>"未完成"</formula>
    </cfRule>
    <cfRule type="cellIs" dxfId="0" priority="1444" operator="equal">
      <formula>"未完成"</formula>
    </cfRule>
  </conditionalFormatting>
  <conditionalFormatting sqref="AC2:AC7 W2:X7">
    <cfRule type="cellIs" dxfId="0" priority="1439" operator="equal">
      <formula>"欠"</formula>
    </cfRule>
  </conditionalFormatting>
  <conditionalFormatting sqref="AC8:AC13 X8:X13">
    <cfRule type="cellIs" dxfId="0" priority="1437" operator="equal">
      <formula>"欠"</formula>
    </cfRule>
  </conditionalFormatting>
  <conditionalFormatting sqref="AC14:AC35 W14:X35">
    <cfRule type="cellIs" dxfId="0" priority="1440" operator="equal">
      <formula>"欠"</formula>
    </cfRule>
  </conditionalFormatting>
  <conditionalFormatting sqref="Y14:AB35">
    <cfRule type="cellIs" dxfId="1" priority="1441" operator="equal">
      <formula>"未完成"</formula>
    </cfRule>
    <cfRule type="cellIs" dxfId="0" priority="1442" operator="equal">
      <formula>"未完成"</formula>
    </cfRule>
  </conditionalFormatting>
  <conditionalFormatting sqref="R36:S37 AE36:AE37">
    <cfRule type="cellIs" dxfId="0" priority="1429" operator="equal">
      <formula>"欠"</formula>
    </cfRule>
  </conditionalFormatting>
  <conditionalFormatting sqref="AA36:AD37">
    <cfRule type="cellIs" dxfId="1" priority="1430" operator="equal">
      <formula>"未完成"</formula>
    </cfRule>
    <cfRule type="cellIs" dxfId="0" priority="1431" operator="equal">
      <formula>"未完成"</formula>
    </cfRule>
  </conditionalFormatting>
  <conditionalFormatting sqref="R38:T38 AF38">
    <cfRule type="cellIs" dxfId="0" priority="1425" operator="equal">
      <formula>"欠"</formula>
    </cfRule>
  </conditionalFormatting>
  <conditionalFormatting sqref="R39:T39 AF39">
    <cfRule type="cellIs" dxfId="0" priority="1417" operator="equal">
      <formula>"欠"</formula>
    </cfRule>
  </conditionalFormatting>
  <conditionalFormatting sqref="R40:T40 AF40">
    <cfRule type="cellIs" dxfId="0" priority="1413" operator="equal">
      <formula>"欠"</formula>
    </cfRule>
  </conditionalFormatting>
  <conditionalFormatting sqref="R41:T41 AF41">
    <cfRule type="cellIs" dxfId="0" priority="1409" operator="equal">
      <formula>"欠"</formula>
    </cfRule>
  </conditionalFormatting>
  <conditionalFormatting sqref="AF42 R42:T42">
    <cfRule type="cellIs" dxfId="0" priority="1405" operator="equal">
      <formula>"欠"</formula>
    </cfRule>
  </conditionalFormatting>
  <conditionalFormatting sqref="AF43 R43:T43">
    <cfRule type="cellIs" dxfId="0" priority="1401" operator="equal">
      <formula>"欠"</formula>
    </cfRule>
  </conditionalFormatting>
  <conditionalFormatting sqref="AF44 R44:T44">
    <cfRule type="cellIs" dxfId="0" priority="1397" operator="equal">
      <formula>"欠"</formula>
    </cfRule>
  </conditionalFormatting>
  <conditionalFormatting sqref="R45:T45 AF45">
    <cfRule type="cellIs" dxfId="0" priority="1393" operator="equal">
      <formula>"欠"</formula>
    </cfRule>
  </conditionalFormatting>
  <conditionalFormatting sqref="R46:T46 AF50:AF53 R50:T53 AF46">
    <cfRule type="cellIs" dxfId="0" priority="1389" operator="equal">
      <formula>"欠"</formula>
    </cfRule>
  </conditionalFormatting>
  <conditionalFormatting sqref="AA46 AA50:AA53">
    <cfRule type="cellIs" dxfId="0" priority="1388" operator="equal">
      <formula>"未完成"</formula>
    </cfRule>
  </conditionalFormatting>
  <conditionalFormatting sqref="AE51 AB46:AE46 AD50:AE50 AB52:AE52 AB50:AC51 AB53:AC53 AE53">
    <cfRule type="cellIs" dxfId="1" priority="1390" operator="equal">
      <formula>"未完成"</formula>
    </cfRule>
    <cfRule type="cellIs" dxfId="0" priority="1391" operator="equal">
      <formula>"未完成"</formula>
    </cfRule>
  </conditionalFormatting>
  <conditionalFormatting sqref="AF47 R47:T47">
    <cfRule type="cellIs" dxfId="0" priority="1379" operator="equal">
      <formula>"欠"</formula>
    </cfRule>
  </conditionalFormatting>
  <conditionalFormatting sqref="AF48 R48:T48">
    <cfRule type="cellIs" dxfId="0" priority="1378" operator="equal">
      <formula>"欠"</formula>
    </cfRule>
  </conditionalFormatting>
  <conditionalFormatting sqref="AF49 R49:T49">
    <cfRule type="cellIs" dxfId="0" priority="1385" operator="equal">
      <formula>"欠"</formula>
    </cfRule>
  </conditionalFormatting>
  <conditionalFormatting sqref="R54:T54 AF54">
    <cfRule type="cellIs" dxfId="0" priority="1275" operator="equal">
      <formula>"欠"</formula>
    </cfRule>
  </conditionalFormatting>
  <conditionalFormatting sqref="AE54 AB54:AC54">
    <cfRule type="cellIs" dxfId="1" priority="1324" operator="equal">
      <formula>"未完成"</formula>
    </cfRule>
    <cfRule type="cellIs" dxfId="0" priority="1373" operator="equal">
      <formula>"未完成"</formula>
    </cfRule>
  </conditionalFormatting>
  <conditionalFormatting sqref="R55:T55 AF55">
    <cfRule type="cellIs" dxfId="0" priority="1274" operator="equal">
      <formula>"欠"</formula>
    </cfRule>
  </conditionalFormatting>
  <conditionalFormatting sqref="AE55 AB55:AC55">
    <cfRule type="cellIs" dxfId="1" priority="1323" operator="equal">
      <formula>"未完成"</formula>
    </cfRule>
    <cfRule type="cellIs" dxfId="0" priority="1372" operator="equal">
      <formula>"未完成"</formula>
    </cfRule>
  </conditionalFormatting>
  <conditionalFormatting sqref="R56:T56 AF56">
    <cfRule type="cellIs" dxfId="0" priority="1273" operator="equal">
      <formula>"欠"</formula>
    </cfRule>
  </conditionalFormatting>
  <conditionalFormatting sqref="AE56 AB56:AC56">
    <cfRule type="cellIs" dxfId="1" priority="1322" operator="equal">
      <formula>"未完成"</formula>
    </cfRule>
    <cfRule type="cellIs" dxfId="0" priority="1371" operator="equal">
      <formula>"未完成"</formula>
    </cfRule>
  </conditionalFormatting>
  <conditionalFormatting sqref="R57:T57 AF57">
    <cfRule type="cellIs" dxfId="0" priority="1272" operator="equal">
      <formula>"欠"</formula>
    </cfRule>
  </conditionalFormatting>
  <conditionalFormatting sqref="AE57 AB57:AC57">
    <cfRule type="cellIs" dxfId="1" priority="1321" operator="equal">
      <formula>"未完成"</formula>
    </cfRule>
    <cfRule type="cellIs" dxfId="0" priority="1370" operator="equal">
      <formula>"未完成"</formula>
    </cfRule>
  </conditionalFormatting>
  <conditionalFormatting sqref="R58:T58 AF58">
    <cfRule type="cellIs" dxfId="0" priority="1271" operator="equal">
      <formula>"欠"</formula>
    </cfRule>
  </conditionalFormatting>
  <conditionalFormatting sqref="AE58 AB58:AC58">
    <cfRule type="cellIs" dxfId="1" priority="1320" operator="equal">
      <formula>"未完成"</formula>
    </cfRule>
    <cfRule type="cellIs" dxfId="0" priority="1369" operator="equal">
      <formula>"未完成"</formula>
    </cfRule>
  </conditionalFormatting>
  <conditionalFormatting sqref="R59:T59 AF59">
    <cfRule type="cellIs" dxfId="0" priority="1270" operator="equal">
      <formula>"欠"</formula>
    </cfRule>
  </conditionalFormatting>
  <conditionalFormatting sqref="AE59 AB59:AC59">
    <cfRule type="cellIs" dxfId="1" priority="1319" operator="equal">
      <formula>"未完成"</formula>
    </cfRule>
    <cfRule type="cellIs" dxfId="0" priority="1368" operator="equal">
      <formula>"未完成"</formula>
    </cfRule>
  </conditionalFormatting>
  <conditionalFormatting sqref="R60:T60 AF60">
    <cfRule type="cellIs" dxfId="0" priority="1269" operator="equal">
      <formula>"欠"</formula>
    </cfRule>
  </conditionalFormatting>
  <conditionalFormatting sqref="AE60 AB60:AC60">
    <cfRule type="cellIs" dxfId="1" priority="1318" operator="equal">
      <formula>"未完成"</formula>
    </cfRule>
    <cfRule type="cellIs" dxfId="0" priority="1367" operator="equal">
      <formula>"未完成"</formula>
    </cfRule>
  </conditionalFormatting>
  <conditionalFormatting sqref="R61:T61 AF61">
    <cfRule type="cellIs" dxfId="0" priority="1268" operator="equal">
      <formula>"欠"</formula>
    </cfRule>
  </conditionalFormatting>
  <conditionalFormatting sqref="AE61 AB61:AC61">
    <cfRule type="cellIs" dxfId="1" priority="1317" operator="equal">
      <formula>"未完成"</formula>
    </cfRule>
    <cfRule type="cellIs" dxfId="0" priority="1366" operator="equal">
      <formula>"未完成"</formula>
    </cfRule>
  </conditionalFormatting>
  <conditionalFormatting sqref="R62:T62 AF62">
    <cfRule type="cellIs" dxfId="0" priority="1267" operator="equal">
      <formula>"欠"</formula>
    </cfRule>
  </conditionalFormatting>
  <conditionalFormatting sqref="AE62 AB62:AC62">
    <cfRule type="cellIs" dxfId="1" priority="1316" operator="equal">
      <formula>"未完成"</formula>
    </cfRule>
    <cfRule type="cellIs" dxfId="0" priority="1365" operator="equal">
      <formula>"未完成"</formula>
    </cfRule>
  </conditionalFormatting>
  <conditionalFormatting sqref="R63:T63 AF63">
    <cfRule type="cellIs" dxfId="0" priority="1266" operator="equal">
      <formula>"欠"</formula>
    </cfRule>
  </conditionalFormatting>
  <conditionalFormatting sqref="AE63 AB63:AC63">
    <cfRule type="cellIs" dxfId="1" priority="1315" operator="equal">
      <formula>"未完成"</formula>
    </cfRule>
    <cfRule type="cellIs" dxfId="0" priority="1364" operator="equal">
      <formula>"未完成"</formula>
    </cfRule>
  </conditionalFormatting>
  <conditionalFormatting sqref="R64:T64 AF64">
    <cfRule type="cellIs" dxfId="0" priority="1265" operator="equal">
      <formula>"欠"</formula>
    </cfRule>
  </conditionalFormatting>
  <conditionalFormatting sqref="AE64 AB64:AC64">
    <cfRule type="cellIs" dxfId="1" priority="1314" operator="equal">
      <formula>"未完成"</formula>
    </cfRule>
    <cfRule type="cellIs" dxfId="0" priority="1363" operator="equal">
      <formula>"未完成"</formula>
    </cfRule>
  </conditionalFormatting>
  <conditionalFormatting sqref="R65:T65 AF65">
    <cfRule type="cellIs" dxfId="0" priority="1264" operator="equal">
      <formula>"欠"</formula>
    </cfRule>
  </conditionalFormatting>
  <conditionalFormatting sqref="AE65 AB65:AC65">
    <cfRule type="cellIs" dxfId="1" priority="1313" operator="equal">
      <formula>"未完成"</formula>
    </cfRule>
    <cfRule type="cellIs" dxfId="0" priority="1362" operator="equal">
      <formula>"未完成"</formula>
    </cfRule>
  </conditionalFormatting>
  <conditionalFormatting sqref="R66:T66 AF66">
    <cfRule type="cellIs" dxfId="0" priority="1263" operator="equal">
      <formula>"欠"</formula>
    </cfRule>
  </conditionalFormatting>
  <conditionalFormatting sqref="AE66 AB66:AC66">
    <cfRule type="cellIs" dxfId="1" priority="1312" operator="equal">
      <formula>"未完成"</formula>
    </cfRule>
    <cfRule type="cellIs" dxfId="0" priority="1361" operator="equal">
      <formula>"未完成"</formula>
    </cfRule>
  </conditionalFormatting>
  <conditionalFormatting sqref="R67:T67 AF67">
    <cfRule type="cellIs" dxfId="0" priority="1262" operator="equal">
      <formula>"欠"</formula>
    </cfRule>
  </conditionalFormatting>
  <conditionalFormatting sqref="AE67 AB67:AC67">
    <cfRule type="cellIs" dxfId="1" priority="1311" operator="equal">
      <formula>"未完成"</formula>
    </cfRule>
    <cfRule type="cellIs" dxfId="0" priority="1360" operator="equal">
      <formula>"未完成"</formula>
    </cfRule>
  </conditionalFormatting>
  <conditionalFormatting sqref="R68:T68 AF68">
    <cfRule type="cellIs" dxfId="0" priority="1261" operator="equal">
      <formula>"欠"</formula>
    </cfRule>
  </conditionalFormatting>
  <conditionalFormatting sqref="AE68 AB68:AC68">
    <cfRule type="cellIs" dxfId="1" priority="1310" operator="equal">
      <formula>"未完成"</formula>
    </cfRule>
    <cfRule type="cellIs" dxfId="0" priority="1359" operator="equal">
      <formula>"未完成"</formula>
    </cfRule>
  </conditionalFormatting>
  <conditionalFormatting sqref="R69:T69 AF69">
    <cfRule type="cellIs" dxfId="0" priority="1260" operator="equal">
      <formula>"欠"</formula>
    </cfRule>
  </conditionalFormatting>
  <conditionalFormatting sqref="AE69 AB69:AC69">
    <cfRule type="cellIs" dxfId="1" priority="1309" operator="equal">
      <formula>"未完成"</formula>
    </cfRule>
    <cfRule type="cellIs" dxfId="0" priority="1358" operator="equal">
      <formula>"未完成"</formula>
    </cfRule>
  </conditionalFormatting>
  <conditionalFormatting sqref="R70:T70 AF70">
    <cfRule type="cellIs" dxfId="0" priority="1259" operator="equal">
      <formula>"欠"</formula>
    </cfRule>
  </conditionalFormatting>
  <conditionalFormatting sqref="AE70 AB70:AC70">
    <cfRule type="cellIs" dxfId="1" priority="1308" operator="equal">
      <formula>"未完成"</formula>
    </cfRule>
    <cfRule type="cellIs" dxfId="0" priority="1357" operator="equal">
      <formula>"未完成"</formula>
    </cfRule>
  </conditionalFormatting>
  <conditionalFormatting sqref="R71:T71 AF71">
    <cfRule type="cellIs" dxfId="0" priority="1258" operator="equal">
      <formula>"欠"</formula>
    </cfRule>
  </conditionalFormatting>
  <conditionalFormatting sqref="AE71 AB71:AC71">
    <cfRule type="cellIs" dxfId="1" priority="1307" operator="equal">
      <formula>"未完成"</formula>
    </cfRule>
    <cfRule type="cellIs" dxfId="0" priority="1356" operator="equal">
      <formula>"未完成"</formula>
    </cfRule>
  </conditionalFormatting>
  <conditionalFormatting sqref="R72:T72 AF72">
    <cfRule type="cellIs" dxfId="0" priority="1257" operator="equal">
      <formula>"欠"</formula>
    </cfRule>
  </conditionalFormatting>
  <conditionalFormatting sqref="AE72 AB72:AC72">
    <cfRule type="cellIs" dxfId="1" priority="1306" operator="equal">
      <formula>"未完成"</formula>
    </cfRule>
    <cfRule type="cellIs" dxfId="0" priority="1355" operator="equal">
      <formula>"未完成"</formula>
    </cfRule>
  </conditionalFormatting>
  <conditionalFormatting sqref="R73:T73 AF73">
    <cfRule type="cellIs" dxfId="0" priority="1256" operator="equal">
      <formula>"欠"</formula>
    </cfRule>
  </conditionalFormatting>
  <conditionalFormatting sqref="AE73 AB73:AC73">
    <cfRule type="cellIs" dxfId="1" priority="1305" operator="equal">
      <formula>"未完成"</formula>
    </cfRule>
    <cfRule type="cellIs" dxfId="0" priority="1354" operator="equal">
      <formula>"未完成"</formula>
    </cfRule>
  </conditionalFormatting>
  <conditionalFormatting sqref="R74:T74 AF74">
    <cfRule type="cellIs" dxfId="0" priority="1255" operator="equal">
      <formula>"欠"</formula>
    </cfRule>
  </conditionalFormatting>
  <conditionalFormatting sqref="AE74 AB74:AC74">
    <cfRule type="cellIs" dxfId="1" priority="1304" operator="equal">
      <formula>"未完成"</formula>
    </cfRule>
    <cfRule type="cellIs" dxfId="0" priority="1353" operator="equal">
      <formula>"未完成"</formula>
    </cfRule>
  </conditionalFormatting>
  <conditionalFormatting sqref="R75:T75 AF75">
    <cfRule type="cellIs" dxfId="0" priority="1254" operator="equal">
      <formula>"欠"</formula>
    </cfRule>
  </conditionalFormatting>
  <conditionalFormatting sqref="AE75 AB75:AC75">
    <cfRule type="cellIs" dxfId="1" priority="1303" operator="equal">
      <formula>"未完成"</formula>
    </cfRule>
    <cfRule type="cellIs" dxfId="0" priority="1352" operator="equal">
      <formula>"未完成"</formula>
    </cfRule>
  </conditionalFormatting>
  <conditionalFormatting sqref="R76:T76 AF76">
    <cfRule type="cellIs" dxfId="0" priority="1253" operator="equal">
      <formula>"欠"</formula>
    </cfRule>
  </conditionalFormatting>
  <conditionalFormatting sqref="AE76 AB76:AC76">
    <cfRule type="cellIs" dxfId="1" priority="1302" operator="equal">
      <formula>"未完成"</formula>
    </cfRule>
    <cfRule type="cellIs" dxfId="0" priority="1351" operator="equal">
      <formula>"未完成"</formula>
    </cfRule>
  </conditionalFormatting>
  <conditionalFormatting sqref="R77:T77 AF77">
    <cfRule type="cellIs" dxfId="0" priority="1252" operator="equal">
      <formula>"欠"</formula>
    </cfRule>
  </conditionalFormatting>
  <conditionalFormatting sqref="AE77 AB77:AC77">
    <cfRule type="cellIs" dxfId="1" priority="1301" operator="equal">
      <formula>"未完成"</formula>
    </cfRule>
    <cfRule type="cellIs" dxfId="0" priority="1350" operator="equal">
      <formula>"未完成"</formula>
    </cfRule>
  </conditionalFormatting>
  <conditionalFormatting sqref="R78:T78 AF78">
    <cfRule type="cellIs" dxfId="0" priority="1251" operator="equal">
      <formula>"欠"</formula>
    </cfRule>
  </conditionalFormatting>
  <conditionalFormatting sqref="AE78 AB78:AC78">
    <cfRule type="cellIs" dxfId="1" priority="1300" operator="equal">
      <formula>"未完成"</formula>
    </cfRule>
    <cfRule type="cellIs" dxfId="0" priority="1349" operator="equal">
      <formula>"未完成"</formula>
    </cfRule>
  </conditionalFormatting>
  <conditionalFormatting sqref="R79:T79 AF79">
    <cfRule type="cellIs" dxfId="0" priority="1250" operator="equal">
      <formula>"欠"</formula>
    </cfRule>
  </conditionalFormatting>
  <conditionalFormatting sqref="AE79 AB79:AC79">
    <cfRule type="cellIs" dxfId="1" priority="1299" operator="equal">
      <formula>"未完成"</formula>
    </cfRule>
    <cfRule type="cellIs" dxfId="0" priority="1348" operator="equal">
      <formula>"未完成"</formula>
    </cfRule>
  </conditionalFormatting>
  <conditionalFormatting sqref="R80:T80 AF80">
    <cfRule type="cellIs" dxfId="0" priority="1249" operator="equal">
      <formula>"欠"</formula>
    </cfRule>
  </conditionalFormatting>
  <conditionalFormatting sqref="AE80 AB80:AC80">
    <cfRule type="cellIs" dxfId="1" priority="1298" operator="equal">
      <formula>"未完成"</formula>
    </cfRule>
    <cfRule type="cellIs" dxfId="0" priority="1347" operator="equal">
      <formula>"未完成"</formula>
    </cfRule>
  </conditionalFormatting>
  <conditionalFormatting sqref="R81:T81 AF81">
    <cfRule type="cellIs" dxfId="0" priority="1248" operator="equal">
      <formula>"欠"</formula>
    </cfRule>
  </conditionalFormatting>
  <conditionalFormatting sqref="AE81 AB81:AC81">
    <cfRule type="cellIs" dxfId="1" priority="1297" operator="equal">
      <formula>"未完成"</formula>
    </cfRule>
    <cfRule type="cellIs" dxfId="0" priority="1346" operator="equal">
      <formula>"未完成"</formula>
    </cfRule>
  </conditionalFormatting>
  <conditionalFormatting sqref="R82:T82 AF82">
    <cfRule type="cellIs" dxfId="0" priority="1247" operator="equal">
      <formula>"欠"</formula>
    </cfRule>
  </conditionalFormatting>
  <conditionalFormatting sqref="AE82 AB82:AC82">
    <cfRule type="cellIs" dxfId="1" priority="1296" operator="equal">
      <formula>"未完成"</formula>
    </cfRule>
    <cfRule type="cellIs" dxfId="0" priority="1345" operator="equal">
      <formula>"未完成"</formula>
    </cfRule>
  </conditionalFormatting>
  <conditionalFormatting sqref="R83:T83 AF83">
    <cfRule type="cellIs" dxfId="0" priority="1246" operator="equal">
      <formula>"欠"</formula>
    </cfRule>
  </conditionalFormatting>
  <conditionalFormatting sqref="AE83 AB83:AC83">
    <cfRule type="cellIs" dxfId="1" priority="1295" operator="equal">
      <formula>"未完成"</formula>
    </cfRule>
    <cfRule type="cellIs" dxfId="0" priority="1344" operator="equal">
      <formula>"未完成"</formula>
    </cfRule>
  </conditionalFormatting>
  <conditionalFormatting sqref="R84:T84 AF84">
    <cfRule type="cellIs" dxfId="0" priority="1245" operator="equal">
      <formula>"欠"</formula>
    </cfRule>
  </conditionalFormatting>
  <conditionalFormatting sqref="AE84 AB84:AC84">
    <cfRule type="cellIs" dxfId="1" priority="1294" operator="equal">
      <formula>"未完成"</formula>
    </cfRule>
    <cfRule type="cellIs" dxfId="0" priority="1343" operator="equal">
      <formula>"未完成"</formula>
    </cfRule>
  </conditionalFormatting>
  <conditionalFormatting sqref="R85:T85 AF85">
    <cfRule type="cellIs" dxfId="0" priority="1244" operator="equal">
      <formula>"欠"</formula>
    </cfRule>
  </conditionalFormatting>
  <conditionalFormatting sqref="AE85 AB85:AC85">
    <cfRule type="cellIs" dxfId="1" priority="1293" operator="equal">
      <formula>"未完成"</formula>
    </cfRule>
    <cfRule type="cellIs" dxfId="0" priority="1342" operator="equal">
      <formula>"未完成"</formula>
    </cfRule>
  </conditionalFormatting>
  <conditionalFormatting sqref="R86:T86 AF86">
    <cfRule type="cellIs" dxfId="0" priority="1243" operator="equal">
      <formula>"欠"</formula>
    </cfRule>
  </conditionalFormatting>
  <conditionalFormatting sqref="AE86 AB86:AC86">
    <cfRule type="cellIs" dxfId="1" priority="1292" operator="equal">
      <formula>"未完成"</formula>
    </cfRule>
    <cfRule type="cellIs" dxfId="0" priority="1341" operator="equal">
      <formula>"未完成"</formula>
    </cfRule>
  </conditionalFormatting>
  <conditionalFormatting sqref="R87:T87 AF87">
    <cfRule type="cellIs" dxfId="0" priority="1242" operator="equal">
      <formula>"欠"</formula>
    </cfRule>
  </conditionalFormatting>
  <conditionalFormatting sqref="AE87 AB87:AC87">
    <cfRule type="cellIs" dxfId="1" priority="1291" operator="equal">
      <formula>"未完成"</formula>
    </cfRule>
    <cfRule type="cellIs" dxfId="0" priority="1340" operator="equal">
      <formula>"未完成"</formula>
    </cfRule>
  </conditionalFormatting>
  <conditionalFormatting sqref="R88:T88 AF88">
    <cfRule type="cellIs" dxfId="0" priority="1241" operator="equal">
      <formula>"欠"</formula>
    </cfRule>
  </conditionalFormatting>
  <conditionalFormatting sqref="AE88 AB88:AC88">
    <cfRule type="cellIs" dxfId="1" priority="1290" operator="equal">
      <formula>"未完成"</formula>
    </cfRule>
    <cfRule type="cellIs" dxfId="0" priority="1339" operator="equal">
      <formula>"未完成"</formula>
    </cfRule>
  </conditionalFormatting>
  <conditionalFormatting sqref="R89:T89 AF89">
    <cfRule type="cellIs" dxfId="0" priority="1240" operator="equal">
      <formula>"欠"</formula>
    </cfRule>
  </conditionalFormatting>
  <conditionalFormatting sqref="AE89 AB89:AC89">
    <cfRule type="cellIs" dxfId="1" priority="1289" operator="equal">
      <formula>"未完成"</formula>
    </cfRule>
    <cfRule type="cellIs" dxfId="0" priority="1338" operator="equal">
      <formula>"未完成"</formula>
    </cfRule>
  </conditionalFormatting>
  <conditionalFormatting sqref="R90:T90 AF90">
    <cfRule type="cellIs" dxfId="0" priority="1239" operator="equal">
      <formula>"欠"</formula>
    </cfRule>
  </conditionalFormatting>
  <conditionalFormatting sqref="AE90 AB90:AC90">
    <cfRule type="cellIs" dxfId="1" priority="1288" operator="equal">
      <formula>"未完成"</formula>
    </cfRule>
    <cfRule type="cellIs" dxfId="0" priority="1337" operator="equal">
      <formula>"未完成"</formula>
    </cfRule>
  </conditionalFormatting>
  <conditionalFormatting sqref="R91:T91 AF91">
    <cfRule type="cellIs" dxfId="0" priority="1238" operator="equal">
      <formula>"欠"</formula>
    </cfRule>
  </conditionalFormatting>
  <conditionalFormatting sqref="AE91 AB91:AC91">
    <cfRule type="cellIs" dxfId="1" priority="1287" operator="equal">
      <formula>"未完成"</formula>
    </cfRule>
    <cfRule type="cellIs" dxfId="0" priority="1336" operator="equal">
      <formula>"未完成"</formula>
    </cfRule>
  </conditionalFormatting>
  <conditionalFormatting sqref="R92:T92 AF92">
    <cfRule type="cellIs" dxfId="0" priority="1237" operator="equal">
      <formula>"欠"</formula>
    </cfRule>
  </conditionalFormatting>
  <conditionalFormatting sqref="AE92 AB92:AC92">
    <cfRule type="cellIs" dxfId="1" priority="1286" operator="equal">
      <formula>"未完成"</formula>
    </cfRule>
    <cfRule type="cellIs" dxfId="0" priority="1335" operator="equal">
      <formula>"未完成"</formula>
    </cfRule>
  </conditionalFormatting>
  <conditionalFormatting sqref="R93:T93 AF93">
    <cfRule type="cellIs" dxfId="0" priority="1236" operator="equal">
      <formula>"欠"</formula>
    </cfRule>
  </conditionalFormatting>
  <conditionalFormatting sqref="AE93 AB93:AC93">
    <cfRule type="cellIs" dxfId="1" priority="1285" operator="equal">
      <formula>"未完成"</formula>
    </cfRule>
    <cfRule type="cellIs" dxfId="0" priority="1334" operator="equal">
      <formula>"未完成"</formula>
    </cfRule>
  </conditionalFormatting>
  <conditionalFormatting sqref="R94:T94 AF94">
    <cfRule type="cellIs" dxfId="0" priority="1235" operator="equal">
      <formula>"欠"</formula>
    </cfRule>
  </conditionalFormatting>
  <conditionalFormatting sqref="AE94 AB94:AC94">
    <cfRule type="cellIs" dxfId="1" priority="1284" operator="equal">
      <formula>"未完成"</formula>
    </cfRule>
    <cfRule type="cellIs" dxfId="0" priority="1333" operator="equal">
      <formula>"未完成"</formula>
    </cfRule>
  </conditionalFormatting>
  <conditionalFormatting sqref="R95:T95 AF95">
    <cfRule type="cellIs" dxfId="0" priority="1234" operator="equal">
      <formula>"欠"</formula>
    </cfRule>
  </conditionalFormatting>
  <conditionalFormatting sqref="AE95 AB95:AC95">
    <cfRule type="cellIs" dxfId="1" priority="1283" operator="equal">
      <formula>"未完成"</formula>
    </cfRule>
    <cfRule type="cellIs" dxfId="0" priority="1332" operator="equal">
      <formula>"未完成"</formula>
    </cfRule>
  </conditionalFormatting>
  <conditionalFormatting sqref="R96:T96 AF96">
    <cfRule type="cellIs" dxfId="0" priority="1233" operator="equal">
      <formula>"欠"</formula>
    </cfRule>
  </conditionalFormatting>
  <conditionalFormatting sqref="AE96 AB96:AC96">
    <cfRule type="cellIs" dxfId="1" priority="1282" operator="equal">
      <formula>"未完成"</formula>
    </cfRule>
    <cfRule type="cellIs" dxfId="0" priority="1331" operator="equal">
      <formula>"未完成"</formula>
    </cfRule>
  </conditionalFormatting>
  <conditionalFormatting sqref="R97:T97 AF97">
    <cfRule type="cellIs" dxfId="0" priority="1232" operator="equal">
      <formula>"欠"</formula>
    </cfRule>
  </conditionalFormatting>
  <conditionalFormatting sqref="AE97 AB97:AC97">
    <cfRule type="cellIs" dxfId="1" priority="1281" operator="equal">
      <formula>"未完成"</formula>
    </cfRule>
    <cfRule type="cellIs" dxfId="0" priority="1330" operator="equal">
      <formula>"未完成"</formula>
    </cfRule>
  </conditionalFormatting>
  <conditionalFormatting sqref="R98:T98 AF98">
    <cfRule type="cellIs" dxfId="0" priority="1231" operator="equal">
      <formula>"欠"</formula>
    </cfRule>
  </conditionalFormatting>
  <conditionalFormatting sqref="AE98 AB98:AC98">
    <cfRule type="cellIs" dxfId="1" priority="1280" operator="equal">
      <formula>"未完成"</formula>
    </cfRule>
    <cfRule type="cellIs" dxfId="0" priority="1329" operator="equal">
      <formula>"未完成"</formula>
    </cfRule>
  </conditionalFormatting>
  <conditionalFormatting sqref="R99:T99 AF99">
    <cfRule type="cellIs" dxfId="0" priority="1230" operator="equal">
      <formula>"欠"</formula>
    </cfRule>
  </conditionalFormatting>
  <conditionalFormatting sqref="AE99 AB99:AC99">
    <cfRule type="cellIs" dxfId="1" priority="1279" operator="equal">
      <formula>"未完成"</formula>
    </cfRule>
    <cfRule type="cellIs" dxfId="0" priority="1328" operator="equal">
      <formula>"未完成"</formula>
    </cfRule>
  </conditionalFormatting>
  <conditionalFormatting sqref="R100:T100 AF100">
    <cfRule type="cellIs" dxfId="0" priority="1229" operator="equal">
      <formula>"欠"</formula>
    </cfRule>
  </conditionalFormatting>
  <conditionalFormatting sqref="AE100 AB100:AC100">
    <cfRule type="cellIs" dxfId="1" priority="1278" operator="equal">
      <formula>"未完成"</formula>
    </cfRule>
    <cfRule type="cellIs" dxfId="0" priority="1327" operator="equal">
      <formula>"未完成"</formula>
    </cfRule>
  </conditionalFormatting>
  <conditionalFormatting sqref="R101:T101 AF101">
    <cfRule type="cellIs" dxfId="0" priority="1228" operator="equal">
      <formula>"欠"</formula>
    </cfRule>
  </conditionalFormatting>
  <conditionalFormatting sqref="AE101 AB101:AC101">
    <cfRule type="cellIs" dxfId="1" priority="1277" operator="equal">
      <formula>"未完成"</formula>
    </cfRule>
    <cfRule type="cellIs" dxfId="0" priority="1326" operator="equal">
      <formula>"未完成"</formula>
    </cfRule>
  </conditionalFormatting>
  <conditionalFormatting sqref="R102:T102 AF102">
    <cfRule type="cellIs" dxfId="0" priority="1227" operator="equal">
      <formula>"欠"</formula>
    </cfRule>
  </conditionalFormatting>
  <conditionalFormatting sqref="AE102 AB102:AC102">
    <cfRule type="cellIs" dxfId="1" priority="1276" operator="equal">
      <formula>"未完成"</formula>
    </cfRule>
    <cfRule type="cellIs" dxfId="0" priority="1325" operator="equal">
      <formula>"未完成"</formula>
    </cfRule>
  </conditionalFormatting>
  <conditionalFormatting sqref="R103:T103 AF103">
    <cfRule type="cellIs" dxfId="0" priority="1077" operator="equal">
      <formula>"欠"</formula>
    </cfRule>
  </conditionalFormatting>
  <conditionalFormatting sqref="R104:T104 AF104">
    <cfRule type="cellIs" dxfId="0" priority="1073" operator="equal">
      <formula>"欠"</formula>
    </cfRule>
  </conditionalFormatting>
  <conditionalFormatting sqref="R105:T105 AF105">
    <cfRule type="cellIs" dxfId="0" priority="1069" operator="equal">
      <formula>"欠"</formula>
    </cfRule>
  </conditionalFormatting>
  <conditionalFormatting sqref="R106:T106 AF106">
    <cfRule type="cellIs" dxfId="0" priority="1065" operator="equal">
      <formula>"欠"</formula>
    </cfRule>
  </conditionalFormatting>
  <conditionalFormatting sqref="R107:T107 AF107">
    <cfRule type="cellIs" dxfId="0" priority="1061" operator="equal">
      <formula>"欠"</formula>
    </cfRule>
  </conditionalFormatting>
  <conditionalFormatting sqref="R108:T108 AF108">
    <cfRule type="cellIs" dxfId="0" priority="1057" operator="equal">
      <formula>"欠"</formula>
    </cfRule>
  </conditionalFormatting>
  <conditionalFormatting sqref="R109:T109 AF109">
    <cfRule type="cellIs" dxfId="0" priority="1053" operator="equal">
      <formula>"欠"</formula>
    </cfRule>
  </conditionalFormatting>
  <conditionalFormatting sqref="T110 R110">
    <cfRule type="cellIs" dxfId="0" priority="1051" operator="equal">
      <formula>"欠"</formula>
    </cfRule>
  </conditionalFormatting>
  <conditionalFormatting sqref="R111 T111">
    <cfRule type="cellIs" dxfId="0" priority="1046" operator="equal">
      <formula>"欠"</formula>
    </cfRule>
  </conditionalFormatting>
  <conditionalFormatting sqref="R112 T112">
    <cfRule type="cellIs" dxfId="0" priority="1041" operator="equal">
      <formula>"欠"</formula>
    </cfRule>
  </conditionalFormatting>
  <conditionalFormatting sqref="T113 R113">
    <cfRule type="cellIs" dxfId="0" priority="1027" operator="equal">
      <formula>"欠"</formula>
    </cfRule>
  </conditionalFormatting>
  <conditionalFormatting sqref="AF114 R114:T114">
    <cfRule type="cellIs" dxfId="0" priority="1020" operator="equal">
      <formula>"欠"</formula>
    </cfRule>
  </conditionalFormatting>
  <conditionalFormatting sqref="R115 T115">
    <cfRule type="cellIs" dxfId="0" priority="1018" operator="equal">
      <formula>"欠"</formula>
    </cfRule>
  </conditionalFormatting>
  <conditionalFormatting sqref="AD117:AE120">
    <cfRule type="cellIs" dxfId="1" priority="997" operator="equal">
      <formula>"未完成"</formula>
    </cfRule>
    <cfRule type="cellIs" dxfId="0" priority="998" operator="equal">
      <formula>"未完成"</formula>
    </cfRule>
  </conditionalFormatting>
  <conditionalFormatting sqref="AF117:AG120">
    <cfRule type="cellIs" dxfId="1" priority="995" operator="equal">
      <formula>"未完成"</formula>
    </cfRule>
    <cfRule type="cellIs" dxfId="0" priority="996" operator="equal">
      <formula>"未完成"</formula>
    </cfRule>
  </conditionalFormatting>
  <conditionalFormatting sqref="R121 T121">
    <cfRule type="cellIs" dxfId="0" priority="971" operator="equal">
      <formula>"欠"</formula>
    </cfRule>
  </conditionalFormatting>
  <conditionalFormatting sqref="R123 T123">
    <cfRule type="cellIs" dxfId="0" priority="946" operator="equal">
      <formula>"欠"</formula>
    </cfRule>
  </conditionalFormatting>
  <conditionalFormatting sqref="T124 R124">
    <cfRule type="cellIs" dxfId="0" priority="931" operator="equal">
      <formula>"欠"</formula>
    </cfRule>
  </conditionalFormatting>
  <conditionalFormatting sqref="R127:T128">
    <cfRule type="cellIs" dxfId="0" priority="898" operator="equal">
      <formula>"欠"</formula>
    </cfRule>
  </conditionalFormatting>
  <conditionalFormatting sqref="AD127:AE128">
    <cfRule type="cellIs" dxfId="0" priority="905" operator="equal">
      <formula>"未完成"</formula>
    </cfRule>
    <cfRule type="cellIs" dxfId="1" priority="904" operator="equal">
      <formula>"未完成"</formula>
    </cfRule>
  </conditionalFormatting>
  <conditionalFormatting sqref="AF127:AG128">
    <cfRule type="cellIs" dxfId="0" priority="903" operator="equal">
      <formula>"未完成"</formula>
    </cfRule>
    <cfRule type="cellIs" dxfId="1" priority="902" operator="equal">
      <formula>"未完成"</formula>
    </cfRule>
  </conditionalFormatting>
  <conditionalFormatting sqref="R129 T129">
    <cfRule type="cellIs" dxfId="0" priority="884" operator="equal">
      <formula>"欠"</formula>
    </cfRule>
  </conditionalFormatting>
  <conditionalFormatting sqref="AD129:AE129 AE130">
    <cfRule type="cellIs" dxfId="0" priority="894" operator="equal">
      <formula>"未完成"</formula>
    </cfRule>
    <cfRule type="cellIs" dxfId="1" priority="893" operator="equal">
      <formula>"未完成"</formula>
    </cfRule>
  </conditionalFormatting>
  <conditionalFormatting sqref="AF129:AG130">
    <cfRule type="cellIs" dxfId="0" priority="892" operator="equal">
      <formula>"未完成"</formula>
    </cfRule>
    <cfRule type="cellIs" dxfId="1" priority="891" operator="equal">
      <formula>"未完成"</formula>
    </cfRule>
  </conditionalFormatting>
  <conditionalFormatting sqref="R133 T133">
    <cfRule type="cellIs" dxfId="0" priority="837" operator="equal">
      <formula>"欠"</formula>
    </cfRule>
  </conditionalFormatting>
  <conditionalFormatting sqref="T135 R135">
    <cfRule type="cellIs" dxfId="0" priority="815" operator="equal">
      <formula>"欠"</formula>
    </cfRule>
  </conditionalFormatting>
  <conditionalFormatting sqref="T136 R136">
    <cfRule type="cellIs" dxfId="0" priority="783" operator="equal">
      <formula>"欠"</formula>
    </cfRule>
  </conditionalFormatting>
  <conditionalFormatting sqref="R137:T138">
    <cfRule type="cellIs" dxfId="0" priority="788" operator="equal">
      <formula>"欠"</formula>
    </cfRule>
  </conditionalFormatting>
  <conditionalFormatting sqref="AD137:AE138">
    <cfRule type="cellIs" dxfId="1" priority="804" operator="equal">
      <formula>"未完成"</formula>
    </cfRule>
    <cfRule type="cellIs" dxfId="0" priority="806" operator="equal">
      <formula>"未完成"</formula>
    </cfRule>
  </conditionalFormatting>
  <conditionalFormatting sqref="AF139:AG140">
    <cfRule type="cellIs" dxfId="1" priority="809" operator="equal">
      <formula>"未完成"</formula>
    </cfRule>
    <cfRule type="cellIs" dxfId="0" priority="810" operator="equal">
      <formula>"未完成"</formula>
    </cfRule>
  </conditionalFormatting>
  <conditionalFormatting sqref="AF142:AG144">
    <cfRule type="cellIs" dxfId="1" priority="766" operator="equal">
      <formula>"未完成"</formula>
    </cfRule>
    <cfRule type="cellIs" dxfId="0" priority="767" operator="equal">
      <formula>"未完成"</formula>
    </cfRule>
  </conditionalFormatting>
  <conditionalFormatting sqref="R147 T147">
    <cfRule type="cellIs" dxfId="0" priority="741" operator="equal">
      <formula>"欠"</formula>
    </cfRule>
  </conditionalFormatting>
  <conditionalFormatting sqref="AG147 AC147:AE147">
    <cfRule type="cellIs" dxfId="1" priority="744" operator="equal">
      <formula>"未完成"</formula>
    </cfRule>
    <cfRule type="cellIs" dxfId="0" priority="745" operator="equal">
      <formula>"未完成"</formula>
    </cfRule>
  </conditionalFormatting>
  <conditionalFormatting sqref="AF148:AG151">
    <cfRule type="cellIs" dxfId="1" priority="738" operator="equal">
      <formula>"未完成"</formula>
    </cfRule>
    <cfRule type="cellIs" dxfId="0" priority="739" operator="equal">
      <formula>"未完成"</formula>
    </cfRule>
  </conditionalFormatting>
  <conditionalFormatting sqref="R156 T156">
    <cfRule type="cellIs" dxfId="0" priority="701" operator="equal">
      <formula>"欠"</formula>
    </cfRule>
  </conditionalFormatting>
  <conditionalFormatting sqref="AC156:AE156 AG156">
    <cfRule type="cellIs" dxfId="1" priority="704" operator="equal">
      <formula>"未完成"</formula>
    </cfRule>
    <cfRule type="cellIs" dxfId="0" priority="705" operator="equal">
      <formula>"未完成"</formula>
    </cfRule>
  </conditionalFormatting>
  <conditionalFormatting sqref="R157 T157">
    <cfRule type="cellIs" dxfId="0" priority="695" operator="equal">
      <formula>"欠"</formula>
    </cfRule>
  </conditionalFormatting>
  <conditionalFormatting sqref="AG157 AC157:AE157">
    <cfRule type="cellIs" dxfId="1" priority="698" operator="equal">
      <formula>"未完成"</formula>
    </cfRule>
    <cfRule type="cellIs" dxfId="0" priority="699" operator="equal">
      <formula>"未完成"</formula>
    </cfRule>
  </conditionalFormatting>
  <conditionalFormatting sqref="R158 T158">
    <cfRule type="cellIs" dxfId="0" priority="689" operator="equal">
      <formula>"欠"</formula>
    </cfRule>
  </conditionalFormatting>
  <conditionalFormatting sqref="AG158 AC158:AE158">
    <cfRule type="cellIs" dxfId="1" priority="692" operator="equal">
      <formula>"未完成"</formula>
    </cfRule>
    <cfRule type="cellIs" dxfId="0" priority="693" operator="equal">
      <formula>"未完成"</formula>
    </cfRule>
  </conditionalFormatting>
  <conditionalFormatting sqref="AF160:AG176">
    <cfRule type="cellIs" dxfId="1" priority="680" operator="equal">
      <formula>"未完成"</formula>
    </cfRule>
    <cfRule type="cellIs" dxfId="0" priority="681" operator="equal">
      <formula>"未完成"</formula>
    </cfRule>
  </conditionalFormatting>
  <conditionalFormatting sqref="AF177:AG178">
    <cfRule type="cellIs" dxfId="1" priority="656" operator="equal">
      <formula>"未完成"</formula>
    </cfRule>
    <cfRule type="cellIs" dxfId="0" priority="657" operator="equal">
      <formula>"未完成"</formula>
    </cfRule>
  </conditionalFormatting>
  <conditionalFormatting sqref="AF179:AG182">
    <cfRule type="cellIs" dxfId="1" priority="643" operator="equal">
      <formula>"未完成"</formula>
    </cfRule>
    <cfRule type="cellIs" dxfId="0" priority="644" operator="equal">
      <formula>"未完成"</formula>
    </cfRule>
  </conditionalFormatting>
  <conditionalFormatting sqref="AL184:AN184 AH184:AJ184">
    <cfRule type="cellIs" dxfId="1" priority="621" operator="equal">
      <formula>"未完成"</formula>
    </cfRule>
    <cfRule type="cellIs" dxfId="0" priority="622" operator="equal">
      <formula>"未完成"</formula>
    </cfRule>
  </conditionalFormatting>
  <conditionalFormatting sqref="AF186:AG187">
    <cfRule type="cellIs" dxfId="0" priority="611" operator="equal">
      <formula>"未完成"</formula>
    </cfRule>
    <cfRule type="cellIs" dxfId="1" priority="610" operator="equal">
      <formula>"未完成"</formula>
    </cfRule>
  </conditionalFormatting>
  <conditionalFormatting sqref="AL186:AM187 AH186:AJ187 AO186:AO187">
    <cfRule type="cellIs" dxfId="0" priority="608" operator="equal">
      <formula>"未完成"</formula>
    </cfRule>
    <cfRule type="cellIs" dxfId="1" priority="607" operator="equal">
      <formula>"未完成"</formula>
    </cfRule>
  </conditionalFormatting>
  <conditionalFormatting sqref="AF188:AG189">
    <cfRule type="cellIs" dxfId="0" priority="604" operator="equal">
      <formula>"未完成"</formula>
    </cfRule>
    <cfRule type="cellIs" dxfId="1" priority="603" operator="equal">
      <formula>"未完成"</formula>
    </cfRule>
  </conditionalFormatting>
  <conditionalFormatting sqref="AH188:AJ189 AL188:AL189 AN188:AO189">
    <cfRule type="cellIs" dxfId="0" priority="601" operator="equal">
      <formula>"未完成"</formula>
    </cfRule>
    <cfRule type="cellIs" dxfId="1" priority="600" operator="equal">
      <formula>"未完成"</formula>
    </cfRule>
  </conditionalFormatting>
  <conditionalFormatting sqref="AG190:AG191 AC190:AE191">
    <cfRule type="cellIs" dxfId="1" priority="592" operator="equal">
      <formula>"未完成"</formula>
    </cfRule>
    <cfRule type="cellIs" dxfId="0" priority="593" operator="equal">
      <formula>"未完成"</formula>
    </cfRule>
  </conditionalFormatting>
  <conditionalFormatting sqref="AO192 AP192">
    <cfRule type="cellIs" dxfId="0" priority="565" operator="equal">
      <formula>"未完成"</formula>
    </cfRule>
    <cfRule type="cellIs" dxfId="1" priority="564" operator="equal">
      <formula>"未完成"</formula>
    </cfRule>
  </conditionalFormatting>
  <conditionalFormatting sqref="AI193 AO193 AM193">
    <cfRule type="cellIs" dxfId="0" priority="559" operator="equal">
      <formula>"未完成"</formula>
    </cfRule>
    <cfRule type="cellIs" dxfId="1" priority="558" operator="equal">
      <formula>"未完成"</formula>
    </cfRule>
  </conditionalFormatting>
  <conditionalFormatting sqref="AO194 AI194">
    <cfRule type="cellIs" dxfId="0" priority="539" operator="equal">
      <formula>"未完成"</formula>
    </cfRule>
    <cfRule type="cellIs" dxfId="1" priority="538" operator="equal">
      <formula>"未完成"</formula>
    </cfRule>
  </conditionalFormatting>
  <conditionalFormatting sqref="AI195 AO195">
    <cfRule type="cellIs" dxfId="0" priority="531" operator="equal">
      <formula>"未完成"</formula>
    </cfRule>
    <cfRule type="cellIs" dxfId="1" priority="530" operator="equal">
      <formula>"未完成"</formula>
    </cfRule>
  </conditionalFormatting>
  <conditionalFormatting sqref="AG201:AH202">
    <cfRule type="cellIs" dxfId="0" priority="431" operator="equal">
      <formula>"未完成"</formula>
    </cfRule>
    <cfRule type="cellIs" dxfId="1" priority="430" operator="equal">
      <formula>"未完成"</formula>
    </cfRule>
  </conditionalFormatting>
  <conditionalFormatting sqref="AM201:AN202">
    <cfRule type="cellIs" dxfId="0" priority="422" operator="equal">
      <formula>"未完成"</formula>
    </cfRule>
    <cfRule type="cellIs" dxfId="1" priority="421" operator="equal">
      <formula>"未完成"</formula>
    </cfRule>
  </conditionalFormatting>
  <conditionalFormatting sqref="AQ201:AS202">
    <cfRule type="cellIs" dxfId="0" priority="428" operator="equal">
      <formula>"未完成"</formula>
    </cfRule>
    <cfRule type="cellIs" dxfId="1" priority="427" operator="equal">
      <formula>"未完成"</formula>
    </cfRule>
  </conditionalFormatting>
  <conditionalFormatting sqref="AG204:AH205">
    <cfRule type="cellIs" dxfId="0" priority="393" operator="equal">
      <formula>"未完成"</formula>
    </cfRule>
    <cfRule type="cellIs" dxfId="1" priority="392" operator="equal">
      <formula>"未完成"</formula>
    </cfRule>
  </conditionalFormatting>
  <conditionalFormatting sqref="AR204:AS205">
    <cfRule type="cellIs" dxfId="0" priority="390" operator="equal">
      <formula>"未完成"</formula>
    </cfRule>
    <cfRule type="cellIs" dxfId="1" priority="389" operator="equal">
      <formula>"未完成"</formula>
    </cfRule>
  </conditionalFormatting>
  <conditionalFormatting sqref="AE206 AF206:AG206">
    <cfRule type="cellIs" dxfId="0" priority="374" operator="equal">
      <formula>"未完成"</formula>
    </cfRule>
    <cfRule type="cellIs" dxfId="1" priority="373" operator="equal">
      <formula>"未完成"</formula>
    </cfRule>
  </conditionalFormatting>
  <conditionalFormatting sqref="AI209 AP209">
    <cfRule type="cellIs" dxfId="1" priority="337" operator="equal">
      <formula>"未完成"</formula>
    </cfRule>
    <cfRule type="cellIs" dxfId="0" priority="338" operator="equal">
      <formula>"未完成"</formula>
    </cfRule>
  </conditionalFormatting>
  <conditionalFormatting sqref="AG210:AH211">
    <cfRule type="cellIs" dxfId="0" priority="305" operator="equal">
      <formula>"未完成"</formula>
    </cfRule>
    <cfRule type="cellIs" dxfId="1" priority="304" operator="equal">
      <formula>"未完成"</formula>
    </cfRule>
  </conditionalFormatting>
  <conditionalFormatting sqref="AR210:AS211">
    <cfRule type="cellIs" dxfId="0" priority="302" operator="equal">
      <formula>"未完成"</formula>
    </cfRule>
    <cfRule type="cellIs" dxfId="1" priority="301" operator="equal">
      <formula>"未完成"</formula>
    </cfRule>
  </conditionalFormatting>
  <conditionalFormatting sqref="AI213 AP213">
    <cfRule type="cellIs" dxfId="0" priority="263" operator="equal">
      <formula>"未完成"</formula>
    </cfRule>
    <cfRule type="cellIs" dxfId="1" priority="262" operator="equal">
      <formula>"未完成"</formula>
    </cfRule>
  </conditionalFormatting>
  <conditionalFormatting sqref="AG214:AH215">
    <cfRule type="cellIs" dxfId="1" priority="254" operator="equal">
      <formula>"未完成"</formula>
    </cfRule>
    <cfRule type="cellIs" dxfId="0" priority="255" operator="equal">
      <formula>"未完成"</formula>
    </cfRule>
  </conditionalFormatting>
  <conditionalFormatting sqref="AR214:AS215">
    <cfRule type="cellIs" dxfId="1" priority="251" operator="equal">
      <formula>"未完成"</formula>
    </cfRule>
    <cfRule type="cellIs" dxfId="0" priority="252" operator="equal">
      <formula>"未完成"</formula>
    </cfRule>
  </conditionalFormatting>
  <conditionalFormatting sqref="AP216 AI216">
    <cfRule type="cellIs" dxfId="1" priority="222" operator="equal">
      <formula>"未完成"</formula>
    </cfRule>
    <cfRule type="cellIs" dxfId="0" priority="223" operator="equal">
      <formula>"未完成"</formula>
    </cfRule>
  </conditionalFormatting>
  <conditionalFormatting sqref="AG217 AE217">
    <cfRule type="cellIs" dxfId="0" priority="196" operator="equal">
      <formula>"未完成"</formula>
    </cfRule>
    <cfRule type="cellIs" dxfId="1" priority="195" operator="equal">
      <formula>"未完成"</formula>
    </cfRule>
  </conditionalFormatting>
  <conditionalFormatting sqref="AG218 AE218">
    <cfRule type="cellIs" dxfId="0" priority="187" operator="equal">
      <formula>"未完成"</formula>
    </cfRule>
    <cfRule type="cellIs" dxfId="1" priority="186" operator="equal">
      <formula>"未完成"</formula>
    </cfRule>
  </conditionalFormatting>
  <conditionalFormatting sqref="AG224:AH224 AH225:AH227">
    <cfRule type="cellIs" dxfId="1" priority="60" operator="equal">
      <formula>"未完成"</formula>
    </cfRule>
    <cfRule type="cellIs" dxfId="0" priority="61" operator="equal">
      <formula>"未完成"</formula>
    </cfRule>
  </conditionalFormatting>
  <dataValidations count="1">
    <dataValidation type="list" allowBlank="1" showInputMessage="1" showErrorMessage="1" sqref="AB206 V2:V35 Z36:Z37 AA38:AA114 AB115:AB191 AB217:AB218 AC192:AC205 AC207:AC216 AC219:AC229">
      <formula1>"未完成,已完成,OK"</formula1>
    </dataValidation>
  </dataValidations>
  <pageMargins left="0.75" right="0.75" top="1" bottom="1" header="0.5" footer="0.5"/>
  <pageSetup paperSize="9" orientation="portrait"/>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77425明细 </vt:lpstr>
      <vt:lpstr>77770 S4 明细</vt:lpstr>
      <vt:lpstr>77485 S3 明细</vt:lpstr>
      <vt:lpstr>77425包装MA </vt:lpstr>
      <vt:lpstr>77485包装MA </vt:lpstr>
      <vt:lpstr>77770包装MA</vt:lpstr>
      <vt:lpstr>77349-77425半成品MA</vt:lpstr>
      <vt:lpstr>77485半成品MA</vt:lpstr>
      <vt:lpstr>77770半成品MA</vt:lpstr>
      <vt:lpstr>77485车缝MA</vt:lpstr>
      <vt:lpstr>77770车缝MA</vt:lpstr>
      <vt:lpstr>取消单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2021-07-16T06:48:00Z</dcterms:created>
  <dcterms:modified xsi:type="dcterms:W3CDTF">2026-02-26T04:03:05Z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2052-12.1.0.19302</vt:lpwstr>
  </property>
  <property fmtid="{D5CDD505-2E9C-101B-9397-08002B2CF9AE}" pid="3" name="KSOReadingLayout">
    <vt:bool>true</vt:bool>
  </property>
  <property fmtid="{D5CDD505-2E9C-101B-9397-08002B2CF9AE}" pid="4" name="ICV">
    <vt:lpwstr>AF34C7D1BB4B4C2DAD11953674C0DC86_13</vt:lpwstr>
  </property>
  <property fmtid="{D5CDD505-2E9C-101B-9397-08002B2CF9AE}" pid="5" name="CalculationRule">
    <vt:i4>0</vt:i4>
  </property>
</Properties>
</file>